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45" tabRatio="657" activeTab="7"/>
  </bookViews>
  <sheets>
    <sheet name="стр.1_4" sheetId="1" r:id="rId1"/>
    <sheet name="стр.5_6" sheetId="2" r:id="rId2"/>
    <sheet name="Раздел  обоснование 2022сш" sheetId="3" r:id="rId3"/>
    <sheet name="доход 2022г " sheetId="4" r:id="rId4"/>
    <sheet name="Раздел  обоснование 2023сш " sheetId="5" r:id="rId5"/>
    <sheet name="доход 2023г." sheetId="6" r:id="rId6"/>
    <sheet name="Раздел  обоснование 2024сш" sheetId="7" r:id="rId7"/>
    <sheet name="доход 2024г." sheetId="8" r:id="rId8"/>
  </sheet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3" hidden="1">'доход 2022г '!$A$1:$J$24</definedName>
    <definedName name="Z_91D40EB3_3AB1_43EC_9BD4_811B569873C7_.wvu.PrintArea" localSheetId="5" hidden="1">'доход 2023г.'!$A$1:$J$86</definedName>
    <definedName name="Z_91D40EB3_3AB1_43EC_9BD4_811B569873C7_.wvu.PrintArea" localSheetId="7" hidden="1">'доход 2024г.'!$A$1:$J$84</definedName>
    <definedName name="Z_91D40EB3_3AB1_43EC_9BD4_811B569873C7_.wvu.PrintArea" localSheetId="2" hidden="1">'Раздел  обоснование 2022сш'!$A$1:$L$279</definedName>
    <definedName name="Z_91D40EB3_3AB1_43EC_9BD4_811B569873C7_.wvu.PrintArea" localSheetId="4" hidden="1">'Раздел  обоснование 2023сш '!$A$1:$L$210</definedName>
    <definedName name="Z_91D40EB3_3AB1_43EC_9BD4_811B569873C7_.wvu.PrintArea" localSheetId="6" hidden="1">'Раздел  обоснование 2024сш'!$A$1:$L$212</definedName>
    <definedName name="Z_FB496A58_F583_46B2_B046_A2748948A2F7_.wvu.PrintArea" localSheetId="3" hidden="1">'доход 2022г '!$A$1:$I$24</definedName>
    <definedName name="Z_FB496A58_F583_46B2_B046_A2748948A2F7_.wvu.PrintArea" localSheetId="5" hidden="1">'доход 2023г.'!$A$1:$I$86</definedName>
    <definedName name="Z_FB496A58_F583_46B2_B046_A2748948A2F7_.wvu.PrintArea" localSheetId="7" hidden="1">'доход 2024г.'!$A$1:$I$84</definedName>
    <definedName name="Z_FB496A58_F583_46B2_B046_A2748948A2F7_.wvu.PrintArea" localSheetId="2" hidden="1">'Раздел  обоснование 2022сш'!$A$1:$J$279</definedName>
    <definedName name="Z_FB496A58_F583_46B2_B046_A2748948A2F7_.wvu.PrintArea" localSheetId="4" hidden="1">'Раздел  обоснование 2023сш '!$A$1:$J$210</definedName>
    <definedName name="Z_FB496A58_F583_46B2_B046_A2748948A2F7_.wvu.PrintArea" localSheetId="6" hidden="1">'Раздел  обоснование 2024сш'!$A$1:$J$212</definedName>
    <definedName name="_xlnm.Print_Titles" localSheetId="0">'стр.1_4'!$25:$28</definedName>
    <definedName name="_xlnm.Print_Titles" localSheetId="1">'стр.5_6'!$3:$6</definedName>
    <definedName name="_xlnm.Print_Area" localSheetId="3">'доход 2022г '!$A$1:$I$94</definedName>
    <definedName name="_xlnm.Print_Area" localSheetId="5">'доход 2023г.'!$A$1:$I$86</definedName>
    <definedName name="_xlnm.Print_Area" localSheetId="7">'доход 2024г.'!$A$1:$I$85</definedName>
    <definedName name="_xlnm.Print_Area" localSheetId="2">'Раздел  обоснование 2022сш'!$A$1:$J$279</definedName>
    <definedName name="_xlnm.Print_Area" localSheetId="4">'Раздел  обоснование 2023сш '!$A$1:$J$215</definedName>
    <definedName name="_xlnm.Print_Area" localSheetId="6">'Раздел  обоснование 2024сш'!$A$1:$J$217</definedName>
    <definedName name="_xlnm.Print_Area" localSheetId="0">'стр.1_4'!$A$1:$FE$145</definedName>
    <definedName name="_xlnm.Print_Area" localSheetId="1">'стр.5_6'!$A$1:$FE$51</definedName>
  </definedNames>
  <calcPr fullCalcOnLoad="1"/>
</workbook>
</file>

<file path=xl/comments1.xml><?xml version="1.0" encoding="utf-8"?>
<comments xmlns="http://schemas.openxmlformats.org/spreadsheetml/2006/main">
  <authors>
    <author>NIzmaylova</author>
  </authors>
  <commentList>
    <comment ref="DF87" authorId="0">
      <text>
        <r>
          <rPr>
            <b/>
            <sz val="9"/>
            <rFont val="Tahoma"/>
            <family val="2"/>
          </rPr>
          <t>NIzmaylova:</t>
        </r>
        <r>
          <rPr>
            <sz val="9"/>
            <rFont val="Tahoma"/>
            <family val="2"/>
          </rPr>
          <t xml:space="preserve">
Ира, это приносяшка благотвирительность</t>
        </r>
      </text>
    </comment>
  </commentList>
</comments>
</file>

<file path=xl/comments3.xml><?xml version="1.0" encoding="utf-8"?>
<comments xmlns="http://schemas.openxmlformats.org/spreadsheetml/2006/main">
  <authors>
    <author>Тулушева Ирина Владимировна</author>
    <author>Кожушок Наталья Владимировна</author>
  </authors>
  <commentList>
    <comment ref="E174" authorId="0">
      <text>
        <r>
          <rPr>
            <b/>
            <sz val="9"/>
            <rFont val="Tahoma"/>
            <family val="2"/>
          </rPr>
          <t>2021</t>
        </r>
        <r>
          <rPr>
            <sz val="9"/>
            <rFont val="Tahoma"/>
            <family val="2"/>
          </rPr>
          <t xml:space="preserve">
</t>
        </r>
      </text>
    </comment>
    <comment ref="D203" authorId="0">
      <text>
        <r>
          <rPr>
            <b/>
            <sz val="9"/>
            <rFont val="Tahoma"/>
            <family val="2"/>
          </rPr>
          <t>2021</t>
        </r>
        <r>
          <rPr>
            <sz val="9"/>
            <rFont val="Tahoma"/>
            <family val="2"/>
          </rPr>
          <t xml:space="preserve">
</t>
        </r>
      </text>
    </comment>
    <comment ref="E172" authorId="0">
      <text>
        <r>
          <rPr>
            <b/>
            <sz val="9"/>
            <rFont val="Tahoma"/>
            <family val="2"/>
          </rPr>
          <t>2021</t>
        </r>
      </text>
    </comment>
    <comment ref="E168" authorId="0">
      <text>
        <r>
          <rPr>
            <b/>
            <sz val="9"/>
            <rFont val="Tahoma"/>
            <family val="2"/>
          </rPr>
          <t>2021</t>
        </r>
      </text>
    </comment>
    <comment ref="G147" authorId="0">
      <text>
        <r>
          <rPr>
            <b/>
            <sz val="9"/>
            <rFont val="Tahoma"/>
            <family val="2"/>
          </rPr>
          <t>2021</t>
        </r>
        <r>
          <rPr>
            <sz val="9"/>
            <rFont val="Tahoma"/>
            <family val="2"/>
          </rPr>
          <t xml:space="preserve">
</t>
        </r>
      </text>
    </comment>
    <comment ref="E177" authorId="0">
      <text>
        <r>
          <rPr>
            <b/>
            <sz val="9"/>
            <rFont val="Tahoma"/>
            <family val="2"/>
          </rPr>
          <t xml:space="preserve">2021
</t>
        </r>
      </text>
    </comment>
    <comment ref="E170" authorId="0">
      <text>
        <r>
          <rPr>
            <b/>
            <sz val="9"/>
            <rFont val="Tahoma"/>
            <family val="2"/>
          </rPr>
          <t xml:space="preserve">2021
</t>
        </r>
        <r>
          <rPr>
            <sz val="9"/>
            <rFont val="Tahoma"/>
            <family val="2"/>
          </rPr>
          <t xml:space="preserve">
</t>
        </r>
      </text>
    </comment>
    <comment ref="E171" authorId="0">
      <text>
        <r>
          <rPr>
            <b/>
            <sz val="9"/>
            <rFont val="Tahoma"/>
            <family val="2"/>
          </rPr>
          <t xml:space="preserve">2021
</t>
        </r>
      </text>
    </comment>
    <comment ref="E176" authorId="0">
      <text>
        <r>
          <rPr>
            <b/>
            <sz val="9"/>
            <rFont val="Tahoma"/>
            <family val="2"/>
          </rPr>
          <t>2021</t>
        </r>
        <r>
          <rPr>
            <sz val="9"/>
            <rFont val="Tahoma"/>
            <family val="2"/>
          </rPr>
          <t xml:space="preserve">
</t>
        </r>
      </text>
    </comment>
    <comment ref="E167" authorId="0">
      <text>
        <r>
          <rPr>
            <b/>
            <sz val="9"/>
            <rFont val="Tahoma"/>
            <family val="2"/>
          </rPr>
          <t>2021</t>
        </r>
        <r>
          <rPr>
            <sz val="9"/>
            <rFont val="Tahoma"/>
            <family val="2"/>
          </rPr>
          <t xml:space="preserve">
</t>
        </r>
      </text>
    </comment>
    <comment ref="G144" authorId="0">
      <text>
        <r>
          <rPr>
            <b/>
            <sz val="9"/>
            <rFont val="Tahoma"/>
            <family val="2"/>
          </rPr>
          <t>2021</t>
        </r>
        <r>
          <rPr>
            <sz val="9"/>
            <rFont val="Tahoma"/>
            <family val="2"/>
          </rPr>
          <t xml:space="preserve">
</t>
        </r>
      </text>
    </comment>
    <comment ref="G145" authorId="0">
      <text>
        <r>
          <rPr>
            <b/>
            <sz val="9"/>
            <rFont val="Tahoma"/>
            <family val="2"/>
          </rPr>
          <t>2021</t>
        </r>
      </text>
    </comment>
    <comment ref="D209" authorId="0">
      <text>
        <r>
          <rPr>
            <b/>
            <sz val="9"/>
            <rFont val="Tahoma"/>
            <family val="2"/>
          </rPr>
          <t xml:space="preserve">2021
</t>
        </r>
      </text>
    </comment>
    <comment ref="G141" authorId="0">
      <text>
        <r>
          <rPr>
            <b/>
            <sz val="9"/>
            <rFont val="Tahoma"/>
            <family val="2"/>
          </rPr>
          <t>2021</t>
        </r>
      </text>
    </comment>
    <comment ref="G142" authorId="0">
      <text>
        <r>
          <rPr>
            <b/>
            <sz val="9"/>
            <rFont val="Tahoma"/>
            <family val="2"/>
          </rPr>
          <t>2021</t>
        </r>
        <r>
          <rPr>
            <sz val="9"/>
            <rFont val="Tahoma"/>
            <family val="2"/>
          </rPr>
          <t xml:space="preserve">
</t>
        </r>
      </text>
    </comment>
    <comment ref="G143" authorId="0">
      <text>
        <r>
          <rPr>
            <b/>
            <sz val="9"/>
            <rFont val="Tahoma"/>
            <family val="2"/>
          </rPr>
          <t>2021</t>
        </r>
      </text>
    </comment>
    <comment ref="G146" authorId="0">
      <text>
        <r>
          <rPr>
            <b/>
            <sz val="9"/>
            <rFont val="Tahoma"/>
            <family val="2"/>
          </rPr>
          <t>2021</t>
        </r>
      </text>
    </comment>
    <comment ref="E166" authorId="0">
      <text>
        <r>
          <rPr>
            <b/>
            <sz val="9"/>
            <rFont val="Tahoma"/>
            <family val="2"/>
          </rPr>
          <t>2021</t>
        </r>
        <r>
          <rPr>
            <sz val="9"/>
            <rFont val="Tahoma"/>
            <family val="2"/>
          </rPr>
          <t xml:space="preserve">
</t>
        </r>
      </text>
    </comment>
    <comment ref="D204" authorId="0">
      <text>
        <r>
          <rPr>
            <b/>
            <sz val="9"/>
            <rFont val="Tahoma"/>
            <family val="2"/>
          </rPr>
          <t>2021</t>
        </r>
      </text>
    </comment>
    <comment ref="E175" authorId="0">
      <text>
        <r>
          <rPr>
            <b/>
            <sz val="9"/>
            <rFont val="Tahoma"/>
            <family val="2"/>
          </rPr>
          <t>2021</t>
        </r>
      </text>
    </comment>
    <comment ref="E255" authorId="0">
      <text>
        <r>
          <rPr>
            <b/>
            <sz val="9"/>
            <rFont val="Tahoma"/>
            <family val="2"/>
          </rPr>
          <t>Тулушева Ирина Владимировна:</t>
        </r>
        <r>
          <rPr>
            <sz val="9"/>
            <rFont val="Tahoma"/>
            <family val="2"/>
          </rPr>
          <t xml:space="preserve">
омега-3
</t>
        </r>
      </text>
    </comment>
    <comment ref="E189" authorId="0">
      <text>
        <r>
          <rPr>
            <b/>
            <sz val="9"/>
            <rFont val="Tahoma"/>
            <family val="2"/>
          </rPr>
          <t>Тулушева Ирина Владимировна:</t>
        </r>
        <r>
          <rPr>
            <sz val="9"/>
            <rFont val="Tahoma"/>
            <family val="2"/>
          </rPr>
          <t xml:space="preserve">
</t>
        </r>
      </text>
    </comment>
    <comment ref="E247" authorId="1">
      <text>
        <r>
          <rPr>
            <b/>
            <sz val="9"/>
            <rFont val="Tahoma"/>
            <family val="2"/>
          </rPr>
          <t>Кожушок Наталья Владимировна:</t>
        </r>
        <r>
          <rPr>
            <sz val="9"/>
            <rFont val="Tahoma"/>
            <family val="2"/>
          </rPr>
          <t xml:space="preserve">
228</t>
        </r>
      </text>
    </comment>
    <comment ref="E185" authorId="0">
      <text>
        <r>
          <rPr>
            <b/>
            <sz val="9"/>
            <rFont val="Tahoma"/>
            <family val="0"/>
          </rPr>
          <t>Тулушева Ирина Владимировна:</t>
        </r>
        <r>
          <rPr>
            <sz val="9"/>
            <rFont val="Tahoma"/>
            <family val="0"/>
          </rPr>
          <t xml:space="preserve">
243
</t>
        </r>
      </text>
    </comment>
    <comment ref="G150" authorId="0">
      <text>
        <r>
          <rPr>
            <b/>
            <sz val="9"/>
            <rFont val="Tahoma"/>
            <family val="2"/>
          </rPr>
          <t>2021</t>
        </r>
      </text>
    </comment>
    <comment ref="G151" authorId="0">
      <text>
        <r>
          <rPr>
            <b/>
            <sz val="9"/>
            <rFont val="Tahoma"/>
            <family val="2"/>
          </rPr>
          <t>2021</t>
        </r>
      </text>
    </comment>
  </commentList>
</comments>
</file>

<file path=xl/comments4.xml><?xml version="1.0" encoding="utf-8"?>
<comments xmlns="http://schemas.openxmlformats.org/spreadsheetml/2006/main">
  <authors>
    <author>AShabalina</author>
  </authors>
  <commentList>
    <comment ref="C22" authorId="0">
      <text>
        <r>
          <rPr>
            <b/>
            <sz val="9"/>
            <rFont val="Tahoma"/>
            <family val="2"/>
          </rPr>
          <t>AShabalina:</t>
        </r>
        <r>
          <rPr>
            <sz val="9"/>
            <rFont val="Tahoma"/>
            <family val="2"/>
          </rPr>
          <t xml:space="preserve">
цена за 1 м2</t>
        </r>
      </text>
    </comment>
    <comment ref="D22" authorId="0">
      <text>
        <r>
          <rPr>
            <b/>
            <sz val="9"/>
            <rFont val="Tahoma"/>
            <family val="2"/>
          </rPr>
          <t>AShabalina:</t>
        </r>
        <r>
          <rPr>
            <sz val="9"/>
            <rFont val="Tahoma"/>
            <family val="2"/>
          </rPr>
          <t xml:space="preserve">
объм берем с договора</t>
        </r>
      </text>
    </comment>
    <comment ref="B32" authorId="0">
      <text>
        <r>
          <rPr>
            <b/>
            <sz val="9"/>
            <rFont val="Tahoma"/>
            <family val="2"/>
          </rPr>
          <t>AShabalina:</t>
        </r>
        <r>
          <rPr>
            <sz val="9"/>
            <rFont val="Tahoma"/>
            <family val="2"/>
          </rPr>
          <t xml:space="preserve">
наименовани платной услуги</t>
        </r>
      </text>
    </comment>
    <comment ref="C32" authorId="0">
      <text>
        <r>
          <rPr>
            <b/>
            <sz val="9"/>
            <rFont val="Tahoma"/>
            <family val="2"/>
          </rPr>
          <t xml:space="preserve">AShabalina:стоимость занятия
</t>
        </r>
      </text>
    </comment>
    <comment ref="D32" authorId="0">
      <text>
        <r>
          <rPr>
            <b/>
            <sz val="9"/>
            <rFont val="Tahoma"/>
            <family val="2"/>
          </rPr>
          <t>AShabalina:</t>
        </r>
        <r>
          <rPr>
            <sz val="9"/>
            <rFont val="Tahoma"/>
            <family val="2"/>
          </rPr>
          <t xml:space="preserve">
количество детей
</t>
        </r>
      </text>
    </comment>
    <comment ref="E32" authorId="0">
      <text>
        <r>
          <rPr>
            <b/>
            <sz val="9"/>
            <rFont val="Tahoma"/>
            <family val="2"/>
          </rPr>
          <t>AShabalina:</t>
        </r>
        <r>
          <rPr>
            <sz val="9"/>
            <rFont val="Tahoma"/>
            <family val="2"/>
          </rPr>
          <t xml:space="preserve">
  ст3*ст4*количество мес.*кол.во занятий в месяц</t>
        </r>
      </text>
    </comment>
  </commentList>
</comments>
</file>

<file path=xl/comments5.xml><?xml version="1.0" encoding="utf-8"?>
<comments xmlns="http://schemas.openxmlformats.org/spreadsheetml/2006/main">
  <authors>
    <author>Тулушева Ирина Владимировна</author>
  </authors>
  <commentList>
    <comment ref="E182" authorId="0">
      <text>
        <r>
          <rPr>
            <b/>
            <sz val="9"/>
            <rFont val="Tahoma"/>
            <family val="2"/>
          </rPr>
          <t>Тулушева Ирина Владимировна:</t>
        </r>
        <r>
          <rPr>
            <sz val="9"/>
            <rFont val="Tahoma"/>
            <family val="2"/>
          </rPr>
          <t xml:space="preserve">
208555 тек 0703
</t>
        </r>
      </text>
    </comment>
    <comment ref="E139" authorId="0">
      <text>
        <r>
          <rPr>
            <b/>
            <sz val="9"/>
            <rFont val="Tahoma"/>
            <family val="2"/>
          </rPr>
          <t>Тулушева Ирина Владимировна:</t>
        </r>
        <r>
          <rPr>
            <sz val="9"/>
            <rFont val="Tahoma"/>
            <family val="2"/>
          </rPr>
          <t xml:space="preserve">
текущие 0703
+87899
</t>
        </r>
      </text>
    </comment>
  </commentList>
</comments>
</file>

<file path=xl/comments6.xml><?xml version="1.0" encoding="utf-8"?>
<comments xmlns="http://schemas.openxmlformats.org/spreadsheetml/2006/main">
  <authors>
    <author>AShabalina</author>
  </authors>
  <commentList>
    <comment ref="C23" authorId="0">
      <text>
        <r>
          <rPr>
            <b/>
            <sz val="9"/>
            <rFont val="Tahoma"/>
            <family val="2"/>
          </rPr>
          <t>AShabalina:</t>
        </r>
        <r>
          <rPr>
            <sz val="9"/>
            <rFont val="Tahoma"/>
            <family val="2"/>
          </rPr>
          <t xml:space="preserve">
цена за 1 м2</t>
        </r>
      </text>
    </comment>
    <comment ref="D23" authorId="0">
      <text>
        <r>
          <rPr>
            <b/>
            <sz val="9"/>
            <rFont val="Tahoma"/>
            <family val="2"/>
          </rPr>
          <t>AShabalina:</t>
        </r>
        <r>
          <rPr>
            <sz val="9"/>
            <rFont val="Tahoma"/>
            <family val="2"/>
          </rPr>
          <t xml:space="preserve">
объм берем с договора</t>
        </r>
      </text>
    </comment>
    <comment ref="B33" authorId="0">
      <text>
        <r>
          <rPr>
            <b/>
            <sz val="9"/>
            <rFont val="Tahoma"/>
            <family val="2"/>
          </rPr>
          <t>AShabalina:</t>
        </r>
        <r>
          <rPr>
            <sz val="9"/>
            <rFont val="Tahoma"/>
            <family val="2"/>
          </rPr>
          <t xml:space="preserve">
наименовани платной услуги</t>
        </r>
      </text>
    </comment>
    <comment ref="C33" authorId="0">
      <text>
        <r>
          <rPr>
            <b/>
            <sz val="9"/>
            <rFont val="Tahoma"/>
            <family val="2"/>
          </rPr>
          <t xml:space="preserve">AShabalina:стоимость занятия
</t>
        </r>
      </text>
    </comment>
    <comment ref="D33" authorId="0">
      <text>
        <r>
          <rPr>
            <b/>
            <sz val="9"/>
            <rFont val="Tahoma"/>
            <family val="2"/>
          </rPr>
          <t>AShabalina:</t>
        </r>
        <r>
          <rPr>
            <sz val="9"/>
            <rFont val="Tahoma"/>
            <family val="2"/>
          </rPr>
          <t xml:space="preserve">
количество детей
</t>
        </r>
      </text>
    </comment>
    <comment ref="E33" authorId="0">
      <text>
        <r>
          <rPr>
            <b/>
            <sz val="9"/>
            <rFont val="Tahoma"/>
            <family val="2"/>
          </rPr>
          <t>AShabalina:</t>
        </r>
        <r>
          <rPr>
            <sz val="9"/>
            <rFont val="Tahoma"/>
            <family val="2"/>
          </rPr>
          <t xml:space="preserve">
  ст3*ст4*количество мес.*кол.во занятий в месяц</t>
        </r>
      </text>
    </comment>
  </commentList>
</comments>
</file>

<file path=xl/comments7.xml><?xml version="1.0" encoding="utf-8"?>
<comments xmlns="http://schemas.openxmlformats.org/spreadsheetml/2006/main">
  <authors>
    <author>Тулушева Ирина Владимировна</author>
  </authors>
  <commentList>
    <comment ref="E184" authorId="0">
      <text>
        <r>
          <rPr>
            <b/>
            <sz val="9"/>
            <rFont val="Tahoma"/>
            <family val="2"/>
          </rPr>
          <t>Тулушева Ирина Владимировна:</t>
        </r>
        <r>
          <rPr>
            <sz val="9"/>
            <rFont val="Tahoma"/>
            <family val="2"/>
          </rPr>
          <t xml:space="preserve">
208555 тек 0703
</t>
        </r>
      </text>
    </comment>
    <comment ref="E140" authorId="0">
      <text>
        <r>
          <rPr>
            <b/>
            <sz val="9"/>
            <rFont val="Tahoma"/>
            <family val="2"/>
          </rPr>
          <t>Тулушева Ирина Владимировна:</t>
        </r>
        <r>
          <rPr>
            <sz val="9"/>
            <rFont val="Tahoma"/>
            <family val="2"/>
          </rPr>
          <t xml:space="preserve">
текущие 0703+70065
</t>
        </r>
      </text>
    </comment>
  </commentList>
</comments>
</file>

<file path=xl/comments8.xml><?xml version="1.0" encoding="utf-8"?>
<comments xmlns="http://schemas.openxmlformats.org/spreadsheetml/2006/main">
  <authors>
    <author>AShabalina</author>
  </authors>
  <commentList>
    <comment ref="C22" authorId="0">
      <text>
        <r>
          <rPr>
            <b/>
            <sz val="9"/>
            <rFont val="Tahoma"/>
            <family val="2"/>
          </rPr>
          <t>AShabalina:</t>
        </r>
        <r>
          <rPr>
            <sz val="9"/>
            <rFont val="Tahoma"/>
            <family val="2"/>
          </rPr>
          <t xml:space="preserve">
цена за 1 м2</t>
        </r>
      </text>
    </comment>
    <comment ref="D22" authorId="0">
      <text>
        <r>
          <rPr>
            <b/>
            <sz val="9"/>
            <rFont val="Tahoma"/>
            <family val="2"/>
          </rPr>
          <t>AShabalina:</t>
        </r>
        <r>
          <rPr>
            <sz val="9"/>
            <rFont val="Tahoma"/>
            <family val="2"/>
          </rPr>
          <t xml:space="preserve">
объм берем с договора</t>
        </r>
      </text>
    </comment>
    <comment ref="B32" authorId="0">
      <text>
        <r>
          <rPr>
            <b/>
            <sz val="9"/>
            <rFont val="Tahoma"/>
            <family val="2"/>
          </rPr>
          <t>AShabalina:</t>
        </r>
        <r>
          <rPr>
            <sz val="9"/>
            <rFont val="Tahoma"/>
            <family val="2"/>
          </rPr>
          <t xml:space="preserve">
наименовани платной услуги</t>
        </r>
      </text>
    </comment>
    <comment ref="C32" authorId="0">
      <text>
        <r>
          <rPr>
            <b/>
            <sz val="9"/>
            <rFont val="Tahoma"/>
            <family val="2"/>
          </rPr>
          <t xml:space="preserve">AShabalina:стоимость занятия
</t>
        </r>
      </text>
    </comment>
    <comment ref="D32" authorId="0">
      <text>
        <r>
          <rPr>
            <b/>
            <sz val="9"/>
            <rFont val="Tahoma"/>
            <family val="2"/>
          </rPr>
          <t>AShabalina:</t>
        </r>
        <r>
          <rPr>
            <sz val="9"/>
            <rFont val="Tahoma"/>
            <family val="2"/>
          </rPr>
          <t xml:space="preserve">
количество детей
</t>
        </r>
      </text>
    </comment>
    <comment ref="E32" authorId="0">
      <text>
        <r>
          <rPr>
            <b/>
            <sz val="9"/>
            <rFont val="Tahoma"/>
            <family val="2"/>
          </rPr>
          <t>AShabalina:</t>
        </r>
        <r>
          <rPr>
            <sz val="9"/>
            <rFont val="Tahoma"/>
            <family val="2"/>
          </rPr>
          <t xml:space="preserve">
  ст3*ст4*количество мес.*кол.во занятий в месяц</t>
        </r>
      </text>
    </comment>
  </commentList>
</comments>
</file>

<file path=xl/sharedStrings.xml><?xml version="1.0" encoding="utf-8"?>
<sst xmlns="http://schemas.openxmlformats.org/spreadsheetml/2006/main" count="1870" uniqueCount="671">
  <si>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</si>
  <si>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</si>
  <si>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</si>
  <si>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</si>
  <si>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</si>
  <si>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</si>
  <si>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</si>
  <si>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</si>
  <si>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</si>
  <si>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</si>
  <si>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</si>
  <si>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</si>
  <si>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</si>
  <si>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</si>
  <si>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</si>
  <si>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</si>
  <si>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</si>
  <si>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</si>
  <si>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</si>
  <si>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</si>
  <si>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</si>
  <si>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</si>
  <si>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</si>
  <si>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</si>
  <si>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</si>
  <si>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</si>
  <si>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</si>
  <si>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</si>
  <si>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</si>
  <si>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</si>
  <si>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</si>
  <si>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</si>
  <si>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</si>
  <si>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</si>
  <si>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</si>
  <si>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</si>
  <si>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</si>
  <si>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</si>
  <si>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</si>
  <si>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</si>
  <si>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</si>
  <si>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</si>
  <si>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</si>
  <si>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</si>
  <si>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</si>
  <si>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</si>
  <si>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</si>
  <si>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</si>
  <si>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</si>
  <si>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</si>
  <si>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</si>
  <si>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</si>
  <si>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</si>
  <si>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</si>
  <si>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</si>
  <si>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</si>
  <si>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</si>
  <si>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</si>
  <si>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</si>
  <si>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</si>
  <si>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</si>
  <si>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</si>
  <si>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</si>
  <si>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</si>
  <si>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</si>
  <si>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</si>
  <si>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</si>
  <si>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</si>
  <si>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</si>
  <si>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</si>
  <si>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</si>
  <si>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</si>
  <si>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</si>
  <si>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</si>
  <si>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</si>
  <si>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</si>
  <si>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</si>
  <si>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</si>
  <si>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</si>
  <si>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</si>
  <si>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</si>
  <si>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</si>
  <si>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</si>
  <si>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</si>
  <si>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</si>
  <si>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</si>
  <si>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</si>
  <si>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</si>
  <si>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</si>
  <si>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</si>
  <si>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</si>
  <si>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</si>
  <si>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</si>
  <si>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</si>
  <si>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</si>
  <si>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</si>
  <si>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</si>
  <si>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</si>
  <si>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</si>
  <si>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</si>
  <si>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</si>
  <si>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</si>
  <si>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</si>
  <si>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</si>
  <si>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</si>
  <si>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</si>
  <si>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</si>
  <si>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</si>
  <si>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</si>
  <si>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</si>
  <si>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</si>
  <si>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</si>
  <si>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</si>
  <si>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</si>
  <si>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</si>
  <si>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</si>
  <si>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</si>
  <si>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</si>
  <si>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</si>
  <si>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</si>
  <si>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</si>
  <si>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</si>
  <si>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</si>
  <si>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</si>
  <si>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</si>
  <si>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</si>
  <si>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</si>
  <si>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</si>
  <si>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</si>
  <si>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</si>
  <si>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</si>
  <si>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</si>
  <si>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</si>
  <si>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</si>
  <si>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</si>
  <si>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</si>
  <si>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</si>
  <si>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</si>
  <si>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</si>
  <si>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</si>
  <si>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</si>
  <si>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</si>
  <si>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</si>
  <si>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</si>
  <si>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</si>
  <si>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</si>
  <si>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</si>
  <si>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</si>
  <si>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</si>
  <si>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</si>
  <si>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</si>
  <si>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</si>
  <si>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</si>
  <si>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</si>
  <si>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</si>
  <si>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</si>
  <si>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</si>
  <si>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</si>
  <si>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</si>
  <si>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</si>
  <si>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</si>
  <si>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</si>
  <si>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</si>
  <si>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</si>
  <si>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</si>
  <si>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</si>
  <si>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</si>
  <si>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</si>
  <si>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</si>
  <si>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</si>
  <si>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</si>
  <si>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</si>
  <si>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</si>
  <si>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</si>
  <si>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</si>
  <si>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</si>
  <si>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</si>
  <si>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</si>
  <si>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</si>
  <si>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</si>
  <si>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</si>
  <si>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</si>
  <si>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</si>
  <si>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</si>
  <si>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</si>
  <si>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</si>
  <si>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</si>
  <si>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</si>
  <si>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</si>
  <si>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</si>
  <si>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</si>
  <si>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</si>
  <si>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</si>
  <si>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</si>
  <si>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</si>
  <si>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</si>
  <si>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</si>
  <si>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</si>
  <si>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</si>
  <si>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</si>
  <si>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</si>
  <si>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</si>
  <si>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</si>
  <si>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</si>
  <si>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</si>
  <si>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</si>
  <si>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</si>
  <si>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</si>
  <si>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</si>
  <si>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</si>
  <si>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</si>
  <si>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</si>
  <si>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</si>
  <si>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</si>
  <si>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</si>
  <si>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</si>
  <si>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</si>
  <si>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</si>
  <si>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</si>
  <si>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</si>
  <si>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</si>
  <si>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</si>
  <si>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</si>
  <si>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</si>
  <si>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</si>
  <si>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</si>
  <si>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</si>
  <si>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</si>
  <si>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</si>
  <si>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</si>
  <si>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</si>
  <si>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</si>
  <si>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</si>
  <si>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</si>
  <si>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</si>
  <si>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</si>
  <si>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</si>
  <si>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</si>
  <si>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</si>
  <si>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</si>
  <si>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</si>
  <si>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</si>
  <si>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</si>
  <si>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</si>
  <si>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</si>
  <si>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</si>
  <si>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</si>
  <si>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</si>
  <si>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</si>
  <si>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</si>
  <si>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</si>
  <si>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</si>
  <si>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</si>
  <si>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</si>
  <si>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</si>
  <si>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</si>
  <si>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</si>
  <si>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</si>
  <si>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</si>
  <si>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</si>
  <si>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</si>
  <si>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</si>
  <si>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</si>
  <si>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</si>
  <si>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</si>
  <si>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</si>
  <si>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</si>
  <si>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</si>
  <si>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</si>
  <si>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</si>
  <si>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</si>
  <si>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</si>
  <si>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</si>
  <si>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</si>
  <si>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</si>
  <si>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</si>
  <si>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</si>
  <si>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 xml:space="preserve">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</si>
  <si>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Управление образования администрации Петропавловск-Камчатского городского округа</t>
  </si>
  <si>
    <t>22</t>
  </si>
  <si>
    <t>410101001</t>
  </si>
  <si>
    <t>905</t>
  </si>
  <si>
    <t>Приложение 2</t>
  </si>
  <si>
    <r>
      <t xml:space="preserve">к Порядку </t>
    </r>
    <r>
      <rPr>
        <sz val="13"/>
        <color indexed="8"/>
        <rFont val="Times New Roman"/>
        <family val="1"/>
      </rPr>
      <t>составления и утверждения</t>
    </r>
  </si>
  <si>
    <t xml:space="preserve"> плана финансово-хозяйственной</t>
  </si>
  <si>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</si>
  <si>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</si>
  <si>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</si>
  <si>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</si>
  <si>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</si>
  <si>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лагерь добавила в пед. Персонал</t>
  </si>
  <si>
    <r>
      <t xml:space="preserve">Источник финансового обеспечения:  </t>
    </r>
    <r>
      <rPr>
        <u val="single"/>
        <sz val="14"/>
        <color indexed="8"/>
        <rFont val="Times New Roman"/>
        <family val="1"/>
      </rPr>
      <t>субсидии на выполнение муниципального задания</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</si>
  <si>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</si>
  <si>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</si>
  <si>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</si>
  <si>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</si>
  <si>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</si>
  <si>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</si>
  <si>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</si>
  <si>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</si>
  <si>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</si>
  <si>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</si>
  <si>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</si>
  <si>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</si>
  <si>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</si>
  <si>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</si>
  <si>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</si>
  <si>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</si>
  <si>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</si>
  <si>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</si>
  <si>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</si>
  <si>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</si>
  <si>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</si>
  <si>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</si>
  <si>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</si>
  <si>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</si>
  <si>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</si>
  <si>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</si>
  <si>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Прочие выплаты</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</si>
  <si>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</si>
  <si>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</si>
  <si>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</si>
  <si>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</si>
  <si>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</si>
  <si>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</si>
  <si>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</si>
  <si>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</si>
  <si>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</si>
  <si>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</si>
  <si>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</si>
  <si>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</si>
  <si>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</si>
  <si>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</si>
  <si>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</si>
  <si>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</si>
  <si>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</si>
  <si>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</si>
  <si>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</si>
  <si>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</si>
  <si>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t xml:space="preserve">Налог на имущество </t>
  </si>
  <si>
    <t>Земельный налог</t>
  </si>
  <si>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</si>
  <si>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</si>
  <si>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</si>
  <si>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</si>
  <si>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</si>
  <si>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</si>
  <si>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</si>
  <si>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</si>
  <si>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t>Единица измерения</t>
  </si>
  <si>
    <t>Объем потребления ресурсов</t>
  </si>
  <si>
    <t>Тариф (с учетом НДС), руб.</t>
  </si>
  <si>
    <t>Индексация, %</t>
  </si>
  <si>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</si>
  <si>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</si>
  <si>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</si>
  <si>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</si>
  <si>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</si>
  <si>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</si>
  <si>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</si>
  <si>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</si>
  <si>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</si>
  <si>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</si>
  <si>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</si>
  <si>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</si>
  <si>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</si>
  <si>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</si>
  <si>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</si>
  <si>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</si>
  <si>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Техническое обслуживание пожарной сигнализации</t>
  </si>
  <si>
    <t>Обслуживание ТСО</t>
  </si>
  <si>
    <t>Мониторинг работоспособности сетей передачи данных</t>
  </si>
  <si>
    <t>Снегоочистка</t>
  </si>
  <si>
    <t>Техническое обслуживание противопожарных дверей</t>
  </si>
  <si>
    <t>Аварийный , текущий ремонт</t>
  </si>
  <si>
    <t>Обслуживание ИТП, УУТЭ</t>
  </si>
  <si>
    <t>Гидравлические испытания трубопровода</t>
  </si>
  <si>
    <t>Количество договоров</t>
  </si>
  <si>
    <t>Стоимость услуги, руб.</t>
  </si>
  <si>
    <t>Сопровождение процедур закупок</t>
  </si>
  <si>
    <t>Медицинский осмотр</t>
  </si>
  <si>
    <t>Настройка программного обеспечения</t>
  </si>
  <si>
    <t>4.7. Расчет (обоснование) расходов на прочие расходы</t>
  </si>
  <si>
    <t xml:space="preserve">Призы и подарки </t>
  </si>
  <si>
    <t>Средняя стоимость, руб.</t>
  </si>
  <si>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</si>
  <si>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Приобретение основных средств</t>
  </si>
  <si>
    <t>Приобретение материальных запасов</t>
  </si>
  <si>
    <t>Продукты питания</t>
  </si>
  <si>
    <t>Приобретение материальных запасов на учебный процесс (канц.товары, рабочие тетради, )</t>
  </si>
  <si>
    <t>тек.</t>
  </si>
  <si>
    <t>тек. Субв.</t>
  </si>
  <si>
    <t xml:space="preserve"> городского округа осуществляет функции и полномочия учредителя</t>
  </si>
  <si>
    <t>2. Расчеты (обоснования) выплат персоналу :</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</si>
  <si>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</si>
  <si>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</si>
  <si>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</si>
  <si>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</si>
  <si>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</si>
  <si>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</si>
  <si>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</si>
  <si>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</si>
  <si>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</si>
  <si>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</si>
  <si>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</si>
  <si>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</si>
  <si>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</si>
  <si>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</si>
  <si>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t>Приложение 3</t>
  </si>
  <si>
    <t xml:space="preserve">                                                                                                                         1. Расчет (обоснование) доходов:</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</si>
  <si>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</si>
  <si>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</si>
  <si>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</si>
  <si>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</si>
  <si>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</si>
  <si>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</si>
  <si>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Плата(тариф) за единицу услуги (работы),руб.</t>
  </si>
  <si>
    <t>Стоимость ,руб.</t>
  </si>
  <si>
    <t>(руководитель учреждения)</t>
  </si>
  <si>
    <t>из них: услуги связи</t>
  </si>
  <si>
    <t>транспортные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</si>
  <si>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</si>
  <si>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</si>
  <si>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</si>
  <si>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</si>
  <si>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ПРИНОСЯЩАЯ</t>
  </si>
  <si>
    <t>в т.ч. Класс.рук.</t>
  </si>
  <si>
    <t>М.З.</t>
  </si>
  <si>
    <t>иные</t>
  </si>
  <si>
    <t>Проезд в отпуск</t>
  </si>
  <si>
    <t>количество, чел</t>
  </si>
  <si>
    <t>Средняя стоимость, руб</t>
  </si>
  <si>
    <t>Количество питания, дн.</t>
  </si>
  <si>
    <t>Сумма, руб. ((гр. 2 x гр. 4)+(гр.3 хгр.5))хгр.6</t>
  </si>
  <si>
    <t>1-4 кл.</t>
  </si>
  <si>
    <t>5-11кл.</t>
  </si>
  <si>
    <t>5-11 кл</t>
  </si>
  <si>
    <t>продукты питания (обеды)</t>
  </si>
  <si>
    <t>продукты питания (полдники)</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</si>
  <si>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</si>
  <si>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</si>
  <si>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</si>
  <si>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</si>
  <si>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 xml:space="preserve">ВСЕГО </t>
  </si>
  <si>
    <t>ВСЕГО</t>
  </si>
  <si>
    <t xml:space="preserve">Итого </t>
  </si>
  <si>
    <t>Всего  основных средств:</t>
  </si>
  <si>
    <t>Всего  материальных запасов</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</si>
  <si>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</si>
  <si>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</si>
  <si>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</si>
  <si>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</si>
  <si>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</si>
  <si>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</si>
  <si>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</si>
  <si>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</si>
  <si>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</si>
  <si>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</si>
  <si>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</si>
  <si>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</si>
  <si>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</si>
  <si>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</si>
  <si>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</si>
  <si>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</si>
  <si>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</si>
  <si>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</si>
  <si>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295</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</si>
  <si>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</si>
  <si>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</si>
  <si>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</si>
  <si>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</si>
  <si>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</si>
  <si>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</si>
  <si>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</si>
  <si>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</si>
  <si>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</si>
  <si>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</si>
  <si>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</si>
  <si>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</si>
  <si>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</si>
  <si>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</si>
  <si>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</si>
  <si>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</si>
  <si>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</si>
  <si>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</si>
  <si>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Приобретение прочих  материальных запасов  (пришкольный лагерь)</t>
  </si>
  <si>
    <t>Приобретение материальных запасов  (однократного применения )</t>
  </si>
  <si>
    <t>135</t>
  </si>
  <si>
    <t>стр. 26000=2600</t>
  </si>
  <si>
    <t>Аренда помещения</t>
  </si>
  <si>
    <t>Планируемый объем оказания услуг (выполнения работ)</t>
  </si>
  <si>
    <t>доходы от оказания услуг, работ, компенсации затрат учреждений, по условным арендным платежам  всего</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</si>
  <si>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</si>
  <si>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</si>
  <si>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</si>
  <si>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</si>
  <si>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4100014452</t>
  </si>
  <si>
    <t>12</t>
  </si>
  <si>
    <t>16</t>
  </si>
  <si>
    <t>Прочие расходы по содержанию имущества</t>
  </si>
  <si>
    <t>Электронный кошелек</t>
  </si>
  <si>
    <t>Прочие работы и услуги</t>
  </si>
  <si>
    <t>с обоснования сумма</t>
  </si>
  <si>
    <t>с УРМА</t>
  </si>
  <si>
    <t>Отклонение</t>
  </si>
  <si>
    <t xml:space="preserve">ИНЫЕ </t>
  </si>
  <si>
    <t>МУН.ЗАДАНИЕ</t>
  </si>
  <si>
    <t>УРМ</t>
  </si>
  <si>
    <t>Услуги регионального оператора по обращению с ТКО</t>
  </si>
  <si>
    <t>Занятия в кружке "Робототехника" для детей дош и нач шк возраста</t>
  </si>
  <si>
    <t>Русский язык</t>
  </si>
  <si>
    <t>Математика</t>
  </si>
  <si>
    <t>Английский</t>
  </si>
  <si>
    <t>Расчеты (обоснования) к  плану финансово-хозяйственной деятельности муниципального учреждения на 2022г.</t>
  </si>
  <si>
    <t>приносяшка</t>
  </si>
  <si>
    <t>Приобретение материальных запасов (однократного применения )</t>
  </si>
  <si>
    <t>КОСГУ</t>
  </si>
  <si>
    <t>м3</t>
  </si>
  <si>
    <t>Приобретение материальных запасов (строительные материалы)</t>
  </si>
  <si>
    <t>тек Субв ПДО</t>
  </si>
  <si>
    <t>292</t>
  </si>
  <si>
    <t>Штрафы, пени</t>
  </si>
  <si>
    <t>1.3 Доходы от безвозмездных денежных поступлений:</t>
  </si>
  <si>
    <t>Код аналитической группы подвида дохода  155</t>
  </si>
  <si>
    <t>Наименование</t>
  </si>
  <si>
    <t>Безвозмездные денежные поступления (питание)</t>
  </si>
  <si>
    <t>благотворительность</t>
  </si>
  <si>
    <t>155</t>
  </si>
  <si>
    <t>2.3.1. Расчеты (обоснования) по социальным выплатам персоналу</t>
  </si>
  <si>
    <t>Пособия, компенсации и иные социальные выплаты гражданам, кроме публичных нормативных обязательств (питание)</t>
  </si>
  <si>
    <t>262</t>
  </si>
  <si>
    <t>23</t>
  </si>
  <si>
    <t>Техническое обслуживание и ремонт систем вентиляции</t>
  </si>
  <si>
    <t>Поверка средств измерений</t>
  </si>
  <si>
    <t>Противопожарные мероприятия</t>
  </si>
  <si>
    <t>Приобретение материальных запасов (мягкий инвентарь)</t>
  </si>
  <si>
    <t>Расчеты (обоснования) к  плану финансово-хозяйственной деятельности муниципального учреждения на 2023г.</t>
  </si>
  <si>
    <t xml:space="preserve"> План финансово-хозяйственной деятельности на 20</t>
  </si>
  <si>
    <t>244,247</t>
  </si>
  <si>
    <t xml:space="preserve">            коммунальные услуги</t>
  </si>
  <si>
    <t>247</t>
  </si>
  <si>
    <r>
      <t xml:space="preserve">Код видов расходов </t>
    </r>
    <r>
      <rPr>
        <u val="single"/>
        <sz val="14"/>
        <color indexed="8"/>
        <rFont val="Times New Roman"/>
        <family val="1"/>
      </rPr>
      <t>244,247</t>
    </r>
  </si>
  <si>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</si>
  <si>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Директор муниципального автономного общеобразовательного учреждения "Средняя школа № 28 имени Г.Ф. Кирдищева" Петропавловск-Камчатского городского округа</t>
  </si>
  <si>
    <t>Баневич Е.Ю.</t>
  </si>
  <si>
    <t>м.з.</t>
  </si>
  <si>
    <t>Обслуживание "Системы Гарант"</t>
  </si>
  <si>
    <t>Код видов расходов 112,321</t>
  </si>
  <si>
    <t>Дератизация, дезинфекция</t>
  </si>
  <si>
    <t>Прочие выплаты (медосмотр)</t>
  </si>
  <si>
    <t>Програмное обеспечение</t>
  </si>
  <si>
    <t>Приобретение материальных запасов на учебный процесс ПДО (призы, подарки)</t>
  </si>
  <si>
    <t>Приобретение материальных запасов на учебный процесс  (призы, подарки)</t>
  </si>
  <si>
    <t>Приобретение материальных запасов на учебный процесс (ПДО канц.товары, рабочие тетради, )</t>
  </si>
  <si>
    <t>1.4 Безвозмездные денежные поступления :</t>
  </si>
  <si>
    <t>Объем поступлений</t>
  </si>
  <si>
    <t>Благотворительность</t>
  </si>
  <si>
    <t>Госпошлина</t>
  </si>
  <si>
    <t>24</t>
  </si>
  <si>
    <t>Муниципальное автономное общеобразовательное учреждение "Средняя школа № 28 им. Г.Ф. Кирдищева"  Петропавловск-Камчатского городского округа</t>
  </si>
  <si>
    <t>Расчеты (обоснования) к  плану финансово-хозяйственной деятельности муниципального учреждения на 2024г.</t>
  </si>
  <si>
    <t>продукты питания (завтраки)</t>
  </si>
  <si>
    <t>Физическая охрана здания</t>
  </si>
  <si>
    <t>Техническое обслуживание систем видеонаблюдения</t>
  </si>
  <si>
    <t>Техническое обслуживание лифтов</t>
  </si>
  <si>
    <t>Вывоз мусора, кго</t>
  </si>
  <si>
    <t>Подписка</t>
  </si>
  <si>
    <t>Приобретение основных средств на учебный процесс (учебники, орг.техника)</t>
  </si>
  <si>
    <t>Приобретение основных средств на учебный процесс ПДО (учебники, орг.техника)</t>
  </si>
  <si>
    <t>Приобретение материальных запасов (лекарственных препаратов и материалов, применяемых в медицинских целях)</t>
  </si>
  <si>
    <t>Приобретение прочих  материальных запасов</t>
  </si>
  <si>
    <t>Приобретение материальных запасов (питание)</t>
  </si>
  <si>
    <t>Ремонтные работы (депутатские наказы)</t>
  </si>
  <si>
    <t>Охрана имущества</t>
  </si>
  <si>
    <t>Техническое обслуживние водяного теплообменника</t>
  </si>
  <si>
    <t>Техническое обслуживание узла автоматического погодного регилирования</t>
  </si>
  <si>
    <t>от оказания услуг (выполнения работ) на платной основе, компенсации затрат, по условным арендным платежам</t>
  </si>
  <si>
    <t>Приобретение материальных запасов (горюче-смазочные материалы)</t>
  </si>
  <si>
    <r>
      <t xml:space="preserve">Приобретение материальных запасов на </t>
    </r>
    <r>
      <rPr>
        <u val="single"/>
        <sz val="14"/>
        <color indexed="8"/>
        <rFont val="Times New Roman"/>
        <family val="1"/>
      </rPr>
      <t>учебный процесс ПДО</t>
    </r>
    <r>
      <rPr>
        <sz val="14"/>
        <color indexed="8"/>
        <rFont val="Times New Roman"/>
        <family val="1"/>
      </rPr>
      <t xml:space="preserve"> (призы, подарки)</t>
    </r>
  </si>
  <si>
    <t>2022</t>
  </si>
  <si>
    <t>2023</t>
  </si>
  <si>
    <t>2024</t>
  </si>
  <si>
    <t>Хорохорина Ю.А.</t>
  </si>
  <si>
    <t>1. Расчет (обоснование) доходов:</t>
  </si>
  <si>
    <r>
      <t xml:space="preserve">1.1. Расчет доходов от собстенности </t>
    </r>
    <r>
      <rPr>
        <b/>
        <u val="single"/>
        <sz val="18"/>
        <color indexed="8"/>
        <rFont val="Times New Roman"/>
        <family val="1"/>
      </rPr>
      <t>(статья КОСГУ 120)</t>
    </r>
    <r>
      <rPr>
        <b/>
        <sz val="18"/>
        <color indexed="8"/>
        <rFont val="Times New Roman"/>
        <family val="1"/>
      </rPr>
      <t>:</t>
    </r>
  </si>
  <si>
    <r>
      <t xml:space="preserve">1.1.1 Доходы в виде арендной либо иной платы за передачу в возмездное пользование муниципального имущества </t>
    </r>
    <r>
      <rPr>
        <b/>
        <u val="single"/>
        <sz val="16"/>
        <color indexed="8"/>
        <rFont val="Times New Roman"/>
        <family val="1"/>
      </rPr>
      <t>(подстатья КОСГУ 121)</t>
    </r>
    <r>
      <rPr>
        <b/>
        <sz val="16"/>
        <color indexed="8"/>
        <rFont val="Times New Roman"/>
        <family val="1"/>
      </rPr>
      <t>:</t>
    </r>
  </si>
  <si>
    <t>1.2.1 Доходы от оказания платных услуг (работ) (подстатья КОСГУ 131)</t>
  </si>
  <si>
    <t>1.2.1.1 Расчет доходов от оказания платных услуг (работ) потребителям соответствующих услуг (работ)</t>
  </si>
  <si>
    <t>1.2.1.2 Доходы муниципальных учреждений от поступлений субсидий на финансовое обеспечение выполнения ими муниципального задания</t>
  </si>
  <si>
    <t>Номер, дата  соглашения о порядке и условиях предоставления из  бюджета Петропавловск-Камчатского гродского округа субсидии на финансовое обеспечение выполнения муниципального задания на оказание муниципальных услуг</t>
  </si>
  <si>
    <t>Сумма, руб.</t>
  </si>
  <si>
    <t>1.</t>
  </si>
  <si>
    <t>Соглашение № 28-Ш/МЗ от 08.12.2021г.</t>
  </si>
  <si>
    <t>1.2.1.3  Доходы от поступления платы, взимаемой с родителей (законных представителей) за присмотр и уход</t>
  </si>
  <si>
    <r>
      <t xml:space="preserve">1.3 Расчет доходов от безвозмездных денежных поступлений текущего характера  </t>
    </r>
    <r>
      <rPr>
        <b/>
        <u val="single"/>
        <sz val="18"/>
        <color indexed="8"/>
        <rFont val="Times New Roman"/>
        <family val="1"/>
      </rPr>
      <t>(статья КОСГУ 150)</t>
    </r>
    <r>
      <rPr>
        <b/>
        <sz val="18"/>
        <color indexed="8"/>
        <rFont val="Times New Roman"/>
        <family val="1"/>
      </rPr>
      <t>:</t>
    </r>
  </si>
  <si>
    <r>
      <t xml:space="preserve">1.3.1 Доходы от поступлений текущего характера бюджетным и автономным учреждениям от сектора государственного управления </t>
    </r>
    <r>
      <rPr>
        <b/>
        <u val="single"/>
        <sz val="16"/>
        <color indexed="8"/>
        <rFont val="Times New Roman"/>
        <family val="1"/>
      </rPr>
      <t>(подстатья КОСГУ 152)</t>
    </r>
  </si>
  <si>
    <t>1.3.1.1 Целевые субсидии (субсидии, предоставляемые в соответствии с абзацем вторым пункта 1 статьи 78.1 Бюджетного кодекса Российской Федерации)</t>
  </si>
  <si>
    <t>Номер, дата  соглашения о предоставлении муниципальным  бюджетным и автономным учреждениям из бюджета Петропавловск-Камчатского гродского округа субсидий на иные цели</t>
  </si>
  <si>
    <t>Соглашение № 20-2022-028316 от 04.02.2022г.</t>
  </si>
  <si>
    <t>Соглашение № 20-2022-013672 от 28.01.2022г.</t>
  </si>
  <si>
    <t>Соглашение № 28/Ш-2.2 от 30.12.2021г.</t>
  </si>
  <si>
    <t>Соглашение № 28-Ш/наказы от 14.12.2021г.</t>
  </si>
  <si>
    <t>Соглашение № 28-Ш/проезд от 14.12.2021г.</t>
  </si>
  <si>
    <t>Соглашение № 28-Ш/КР от 14.12.2021г.</t>
  </si>
  <si>
    <t>Соглашение № 28-Ш/питание от 14.12.2021г.</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</si>
  <si>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</si>
  <si>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Оплата проезда для участия в конкурсе</t>
  </si>
  <si>
    <r>
      <t xml:space="preserve">1.3.2 Доходы от поступлений текущего характера от иных резидентов (за исключением сектора государственного управления и организаций государственного сектора) </t>
    </r>
    <r>
      <rPr>
        <b/>
        <u val="single"/>
        <sz val="16"/>
        <color indexed="8"/>
        <rFont val="Times New Roman"/>
        <family val="1"/>
      </rPr>
      <t>(подстатья КОСГУ 155)</t>
    </r>
  </si>
  <si>
    <t>1.3.2.1 Гранты, пожертвования, в том числе денежные пожертвования и безвозмездные поступления от физических и (или) юридических лиц</t>
  </si>
  <si>
    <t>Безвозмездные денежные поступления текущего характера</t>
  </si>
  <si>
    <t xml:space="preserve">Пени </t>
  </si>
  <si>
    <t>Соглашение № 28/Ш-2.1 от 10.06.2022г.</t>
  </si>
  <si>
    <t>Ремонтные работы (капитальный ремонт лестничных маршей)</t>
  </si>
  <si>
    <t>Ремонтные работы (капитальный ремонт асфальтобетонного покрытия)</t>
  </si>
  <si>
    <t>212</t>
  </si>
  <si>
    <t>Прочие выплаты (оплата суточных)</t>
  </si>
  <si>
    <t>Соглашение № 28/Ш-1.5 от 25.05.2022г.</t>
  </si>
  <si>
    <t>труд. Лагерь</t>
  </si>
  <si>
    <t>Классное руководство</t>
  </si>
  <si>
    <t xml:space="preserve">Трудоустройство несовершеннолетних </t>
  </si>
  <si>
    <t>трудовой лагерь</t>
  </si>
  <si>
    <t>Приобретение прочих  материальных запасов (трудовой лагерь)</t>
  </si>
  <si>
    <t>Приобретение прочих  материальных запасов  (трудовой лагерь)</t>
  </si>
  <si>
    <t>Обеспечение временного трудоустройства несовершеннолетних на дополнительных рабочих местах (лабораторные исследования)</t>
  </si>
  <si>
    <t>Приобретение прочих  материальных запасов  (строительные материалы)</t>
  </si>
  <si>
    <t>Приобретение прочих  материальных запасов  (трудовой лагерь, мягкий инвентарь)</t>
  </si>
  <si>
    <t>нет допки</t>
  </si>
  <si>
    <t>страхование</t>
  </si>
  <si>
    <t>227</t>
  </si>
  <si>
    <t>Страхование</t>
  </si>
  <si>
    <t>Разработка программы энегросбережения</t>
  </si>
  <si>
    <t>Предоставление лицензии</t>
  </si>
  <si>
    <t>Субсидии на выполнение муниципального задания</t>
  </si>
  <si>
    <t>Всего:</t>
  </si>
  <si>
    <t>Прочие выплаты (проживание в командировке)</t>
  </si>
  <si>
    <t>Платные услуги, Договора ГПХ</t>
  </si>
  <si>
    <r>
      <t xml:space="preserve">Договора ГПХ </t>
    </r>
    <r>
      <rPr>
        <b/>
        <sz val="14"/>
        <color indexed="8"/>
        <rFont val="Times New Roman"/>
        <family val="1"/>
      </rPr>
      <t>(ЕГЭ) на учебные расходы</t>
    </r>
  </si>
  <si>
    <t>Устройство системы контроля и управления доступом</t>
  </si>
  <si>
    <t>228</t>
  </si>
  <si>
    <t>услуги, работы для целей капитальных вложений</t>
  </si>
  <si>
    <r>
      <t xml:space="preserve">Приобретение материальных запасов </t>
    </r>
    <r>
      <rPr>
        <b/>
        <sz val="14"/>
        <color indexed="8"/>
        <rFont val="Times New Roman"/>
        <family val="1"/>
      </rPr>
      <t xml:space="preserve">на </t>
    </r>
    <r>
      <rPr>
        <b/>
        <u val="single"/>
        <sz val="14"/>
        <color indexed="8"/>
        <rFont val="Times New Roman"/>
        <family val="1"/>
      </rPr>
      <t>учебный процесс</t>
    </r>
    <r>
      <rPr>
        <sz val="14"/>
        <color indexed="8"/>
        <rFont val="Times New Roman"/>
        <family val="1"/>
      </rPr>
      <t xml:space="preserve">  (аттестаты, медали)</t>
    </r>
  </si>
  <si>
    <r>
      <t xml:space="preserve">Приобретение материальных запасов </t>
    </r>
    <r>
      <rPr>
        <b/>
        <u val="single"/>
        <sz val="14"/>
        <color indexed="8"/>
        <rFont val="Times New Roman"/>
        <family val="1"/>
      </rPr>
      <t>на учебный процесс</t>
    </r>
    <r>
      <rPr>
        <sz val="14"/>
        <color indexed="8"/>
        <rFont val="Times New Roman"/>
        <family val="1"/>
      </rPr>
      <t xml:space="preserve"> (канц.товары, рабочие тетради, )</t>
    </r>
  </si>
  <si>
    <r>
      <t xml:space="preserve">Приобретение основных средств </t>
    </r>
    <r>
      <rPr>
        <b/>
        <u val="single"/>
        <sz val="14"/>
        <color indexed="8"/>
        <rFont val="Times New Roman"/>
        <family val="1"/>
      </rPr>
      <t>на учебный процесс ПДО</t>
    </r>
    <r>
      <rPr>
        <sz val="14"/>
        <color indexed="8"/>
        <rFont val="Times New Roman"/>
        <family val="1"/>
      </rPr>
      <t xml:space="preserve"> (учебники, орг.техника)</t>
    </r>
  </si>
  <si>
    <r>
      <t xml:space="preserve">Приобретение основных средств </t>
    </r>
    <r>
      <rPr>
        <b/>
        <u val="single"/>
        <sz val="14"/>
        <color indexed="8"/>
        <rFont val="Times New Roman"/>
        <family val="1"/>
      </rPr>
      <t>на учебный процесс</t>
    </r>
    <r>
      <rPr>
        <sz val="14"/>
        <color indexed="8"/>
        <rFont val="Times New Roman"/>
        <family val="1"/>
      </rPr>
      <t xml:space="preserve"> (учебники, орг.техника)</t>
    </r>
  </si>
  <si>
    <r>
      <t xml:space="preserve">Прочие расходы по содержанию имущества </t>
    </r>
    <r>
      <rPr>
        <b/>
        <sz val="14"/>
        <color indexed="8"/>
        <rFont val="Times New Roman"/>
        <family val="1"/>
      </rPr>
      <t>(субвенция)</t>
    </r>
  </si>
  <si>
    <r>
      <t xml:space="preserve">Програмное обеспечение </t>
    </r>
    <r>
      <rPr>
        <b/>
        <sz val="14"/>
        <color indexed="8"/>
        <rFont val="Times New Roman"/>
        <family val="1"/>
      </rPr>
      <t>(</t>
    </r>
    <r>
      <rPr>
        <b/>
        <u val="single"/>
        <sz val="14"/>
        <color indexed="8"/>
        <rFont val="Times New Roman"/>
        <family val="1"/>
      </rPr>
      <t>субвенция</t>
    </r>
    <r>
      <rPr>
        <b/>
        <sz val="14"/>
        <color indexed="8"/>
        <rFont val="Times New Roman"/>
        <family val="1"/>
      </rPr>
      <t>)</t>
    </r>
  </si>
  <si>
    <t>Ведущий экономист финансово-экономического отдела</t>
  </si>
  <si>
    <t>Тулушева И.В.</t>
  </si>
  <si>
    <t xml:space="preserve"> 303-100 (доб. 2781)</t>
  </si>
  <si>
    <r>
      <t>Соглашение № 28/</t>
    </r>
    <r>
      <rPr>
        <u val="single"/>
        <sz val="14"/>
        <color indexed="8"/>
        <rFont val="Times New Roman"/>
        <family val="1"/>
      </rPr>
      <t>оздоровительная компания</t>
    </r>
    <r>
      <rPr>
        <sz val="14"/>
        <color indexed="8"/>
        <rFont val="Times New Roman"/>
        <family val="1"/>
      </rPr>
      <t xml:space="preserve"> от 13.10.2022г.</t>
    </r>
  </si>
  <si>
    <t>Проведение мероприятий (пришкольный лагерь)</t>
  </si>
  <si>
    <t>296</t>
  </si>
  <si>
    <t>297</t>
  </si>
  <si>
    <t>Иные выплаты текущего характера физическим лицам</t>
  </si>
  <si>
    <t>иные выплаты текущего характера физическим лицам</t>
  </si>
  <si>
    <r>
      <t xml:space="preserve">Код видов расходов </t>
    </r>
    <r>
      <rPr>
        <u val="single"/>
        <sz val="14"/>
        <color indexed="8"/>
        <rFont val="Times New Roman"/>
        <family val="1"/>
      </rPr>
      <t>831</t>
    </r>
  </si>
  <si>
    <t>Иные выплаты текущего характера организациям</t>
  </si>
  <si>
    <t>Сумма, руб. (гр. 3 x гр. 4 x гр. 5)</t>
  </si>
  <si>
    <t xml:space="preserve">Штраф </t>
  </si>
  <si>
    <t>30.12.2022</t>
  </si>
  <si>
    <t>30</t>
  </si>
  <si>
    <t>января</t>
  </si>
  <si>
    <t>Реконструкция лестничных маршей</t>
  </si>
  <si>
    <t>Гидропневматическая промывка систем отопления</t>
  </si>
  <si>
    <t>Дезинфекция (Covid-19)</t>
  </si>
  <si>
    <t>Обучение</t>
  </si>
  <si>
    <t>Исследование смывов (Covid-19)</t>
  </si>
  <si>
    <t>20</t>
  </si>
  <si>
    <t>25</t>
  </si>
  <si>
    <t>Эксплуатационные расходы</t>
  </si>
  <si>
    <t>1.2.3 Доходы по условным арендным платежам (подстатья КОСГУ 135)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</si>
</sst>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000"/>
    <numFmt numFmtId="169" formatCode="#,##0.000000000"/>
    <numFmt numFmtId="170" formatCode="_-* #,##0.000000000000\ _₽_-;\-* #,##0.000000000000\ _₽_-;_-* &quot;-&quot;??\ _₽_-;_-@_-"/>
    <numFmt numFmtId="171" formatCode="0.000"/>
    <numFmt numFmtId="172" formatCode="0.00000000000"/>
    <numFmt numFmtId="173" formatCode="0.000000000"/>
    <numFmt numFmtId="174" formatCode="_-* #,##0.000\ _₽_-;\-* #,##0.000\ _₽_-;_-* &quot;-&quot;???\ _₽_-;_-@_-"/>
    <numFmt numFmtId="175" formatCode="_-* #,##0.00000000_р_._-;\-* #,##0.00000000_р_._-;_-* &quot;-&quot;??_р_._-;_-@_-"/>
    <numFmt numFmtId="176" formatCode="_-* #,##0.000000000000000\ _₽_-;\-* #,##0.000000000000000\ _₽_-;_-* &quot;-&quot;??\ _₽_-;_-@_-"/>
    <numFmt numFmtId="177" formatCode="#,##0.0"/>
    <numFmt numFmtId="178" formatCode="#,##0.00_ ;\-#,##0.00\ "/>
    <numFmt numFmtId="179" formatCode="#,##0.00_ ;[Red]\-#,##0.00\ "/>
    <numFmt numFmtId="180" formatCode="[$-FC19]d\ mmmm\ yyyy\ &quot;г.&quot;"/>
    <numFmt numFmtId="181" formatCode="0.0"/>
  </numFmts>
  <fonts count="12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u val="single"/>
      <sz val="8"/>
      <name val="Times New Roman"/>
      <family val="1"/>
    </font>
    <font>
      <sz val="13"/>
      <color indexed="8"/>
      <name val="Times New Roman"/>
      <family val="1"/>
    </font>
    <font>
      <u val="single"/>
      <sz val="14"/>
      <color indexed="8"/>
      <name val="Times New Roman"/>
      <family val="1"/>
    </font>
    <font>
      <sz val="14"/>
      <color indexed="12"/>
      <name val="Times New Roman"/>
      <family val="1"/>
    </font>
    <font>
      <sz val="14"/>
      <color indexed="8"/>
      <name val="Times New Roman"/>
      <family val="1"/>
    </font>
    <font>
      <vertAlign val="superscript"/>
      <sz val="14"/>
      <color indexed="8"/>
      <name val="Times New Roman"/>
      <family val="1"/>
    </font>
    <font>
      <i/>
      <sz val="8"/>
      <name val="Times New Roman"/>
      <family val="1"/>
    </font>
    <font>
      <b/>
      <i/>
      <sz val="8"/>
      <name val="Times New Roman"/>
      <family val="1"/>
    </font>
    <font>
      <sz val="9"/>
      <name val="Tahoma"/>
      <family val="2"/>
    </font>
    <font>
      <b/>
      <sz val="9"/>
      <name val="Tahoma"/>
      <family val="2"/>
    </font>
    <font>
      <b/>
      <sz val="10"/>
      <name val="Times New Roman"/>
      <family val="1"/>
    </font>
    <font>
      <sz val="9"/>
      <name val="Times New Roman"/>
      <family val="1"/>
    </font>
    <font>
      <sz val="10"/>
      <name val="Arial"/>
      <family val="2"/>
    </font>
    <font>
      <sz val="11"/>
      <name val="Times New Roman"/>
      <family val="1"/>
    </font>
    <font>
      <sz val="16"/>
      <name val="Times New Roman"/>
      <family val="1"/>
    </font>
    <font>
      <b/>
      <sz val="16"/>
      <name val="Times New Roman"/>
      <family val="1"/>
    </font>
    <font>
      <sz val="14"/>
      <name val="Times New Roman"/>
      <family val="1"/>
    </font>
    <font>
      <b/>
      <sz val="16"/>
      <color indexed="8"/>
      <name val="Times New Roman"/>
      <family val="1"/>
    </font>
    <font>
      <b/>
      <u val="single"/>
      <sz val="18"/>
      <color indexed="8"/>
      <name val="Times New Roman"/>
      <family val="1"/>
    </font>
    <font>
      <b/>
      <sz val="18"/>
      <color indexed="8"/>
      <name val="Times New Roman"/>
      <family val="1"/>
    </font>
    <font>
      <b/>
      <u val="single"/>
      <sz val="16"/>
      <color indexed="8"/>
      <name val="Times New Roman"/>
      <family val="1"/>
    </font>
    <font>
      <b/>
      <sz val="11"/>
      <name val="Times New Roman"/>
      <family val="1"/>
    </font>
    <font>
      <sz val="18"/>
      <name val="Times New Roman"/>
      <family val="1"/>
    </font>
    <font>
      <sz val="14"/>
      <name val="Arial Cyr"/>
      <family val="0"/>
    </font>
    <font>
      <b/>
      <sz val="14"/>
      <name val="Times New Roman"/>
      <family val="1"/>
    </font>
    <font>
      <b/>
      <sz val="14"/>
      <color indexed="8"/>
      <name val="Times New Roman"/>
      <family val="1"/>
    </font>
    <font>
      <b/>
      <u val="single"/>
      <sz val="14"/>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9"/>
      <name val="Times New Roman"/>
      <family val="1"/>
    </font>
    <font>
      <b/>
      <sz val="11"/>
      <color indexed="8"/>
      <name val="Times New Roman"/>
      <family val="1"/>
    </font>
    <font>
      <b/>
      <sz val="14"/>
      <color indexed="8"/>
      <name val="Calibri"/>
      <family val="2"/>
    </font>
    <font>
      <b/>
      <sz val="16"/>
      <color indexed="8"/>
      <name val="Calibri"/>
      <family val="2"/>
    </font>
    <font>
      <sz val="11"/>
      <name val="Calibri"/>
      <family val="2"/>
    </font>
    <font>
      <sz val="12"/>
      <color indexed="8"/>
      <name val="Calibri"/>
      <family val="2"/>
    </font>
    <font>
      <b/>
      <sz val="18"/>
      <color indexed="8"/>
      <name val="Calibri"/>
      <family val="2"/>
    </font>
    <font>
      <b/>
      <sz val="8"/>
      <color indexed="13"/>
      <name val="Times New Roman"/>
      <family val="1"/>
    </font>
    <font>
      <b/>
      <sz val="11"/>
      <color indexed="56"/>
      <name val="Times New Roman"/>
      <family val="1"/>
    </font>
    <font>
      <b/>
      <sz val="11"/>
      <color indexed="47"/>
      <name val="Times New Roman"/>
      <family val="1"/>
    </font>
    <font>
      <sz val="14"/>
      <color indexed="8"/>
      <name val="Calibri"/>
      <family val="2"/>
    </font>
    <font>
      <b/>
      <sz val="12"/>
      <color indexed="8"/>
      <name val="Calibri"/>
      <family val="2"/>
    </font>
    <font>
      <i/>
      <sz val="14"/>
      <color indexed="8"/>
      <name val="Times New Roman"/>
      <family val="1"/>
    </font>
    <font>
      <b/>
      <sz val="22"/>
      <color indexed="8"/>
      <name val="Times New Roman"/>
      <family val="1"/>
    </font>
    <font>
      <b/>
      <sz val="22"/>
      <color indexed="8"/>
      <name val="Calibri"/>
      <family val="2"/>
    </font>
    <font>
      <sz val="11"/>
      <color indexed="13"/>
      <name val="Calibri"/>
      <family val="2"/>
    </font>
    <font>
      <sz val="16"/>
      <color indexed="8"/>
      <name val="Calibri"/>
      <family val="2"/>
    </font>
    <font>
      <b/>
      <sz val="20"/>
      <color indexed="8"/>
      <name val="Times New Roman"/>
      <family val="1"/>
    </font>
    <font>
      <b/>
      <sz val="20"/>
      <color indexed="8"/>
      <name val="Calibri"/>
      <family val="2"/>
    </font>
    <font>
      <sz val="18"/>
      <name val="Calibri"/>
      <family val="2"/>
    </font>
    <font>
      <sz val="16"/>
      <name val="Calibri"/>
      <family val="2"/>
    </font>
    <font>
      <b/>
      <sz val="18"/>
      <name val="Calibri"/>
      <family val="2"/>
    </font>
    <font>
      <sz val="14"/>
      <name val="Calibri"/>
      <family val="2"/>
    </font>
    <font>
      <i/>
      <u val="single"/>
      <sz val="14"/>
      <color indexed="8"/>
      <name val="Times New Roman"/>
      <family val="1"/>
    </font>
    <font>
      <i/>
      <sz val="14"/>
      <color indexed="8"/>
      <name val="Times"/>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sz val="11"/>
      <color theme="1"/>
      <name val="Times New Roman"/>
      <family val="1"/>
    </font>
    <font>
      <sz val="11"/>
      <color theme="0"/>
      <name val="Times New Roman"/>
      <family val="1"/>
    </font>
    <font>
      <b/>
      <sz val="11"/>
      <color theme="1"/>
      <name val="Times New Roman"/>
      <family val="1"/>
    </font>
    <font>
      <b/>
      <sz val="14"/>
      <color theme="1"/>
      <name val="Calibri"/>
      <family val="2"/>
    </font>
    <font>
      <b/>
      <sz val="16"/>
      <color theme="1"/>
      <name val="Calibri"/>
      <family val="2"/>
    </font>
    <font>
      <sz val="12"/>
      <color theme="1"/>
      <name val="Calibri"/>
      <family val="2"/>
    </font>
    <font>
      <b/>
      <sz val="18"/>
      <color theme="1"/>
      <name val="Calibri"/>
      <family val="2"/>
    </font>
    <font>
      <b/>
      <sz val="8"/>
      <color rgb="FFFFFF00"/>
      <name val="Times New Roman"/>
      <family val="1"/>
    </font>
    <font>
      <b/>
      <sz val="11"/>
      <color rgb="FF002060"/>
      <name val="Times New Roman"/>
      <family val="1"/>
    </font>
    <font>
      <b/>
      <sz val="16"/>
      <color theme="1"/>
      <name val="Times New Roman"/>
      <family val="1"/>
    </font>
    <font>
      <b/>
      <sz val="11"/>
      <color theme="5" tint="0.7999799847602844"/>
      <name val="Times New Roman"/>
      <family val="1"/>
    </font>
    <font>
      <b/>
      <sz val="18"/>
      <color theme="1"/>
      <name val="Times New Roman"/>
      <family val="1"/>
    </font>
    <font>
      <sz val="14"/>
      <color theme="1"/>
      <name val="Calibri"/>
      <family val="2"/>
    </font>
    <font>
      <b/>
      <sz val="12"/>
      <color theme="1"/>
      <name val="Calibri"/>
      <family val="2"/>
    </font>
    <font>
      <i/>
      <sz val="14"/>
      <color theme="1"/>
      <name val="Times New Roman"/>
      <family val="1"/>
    </font>
    <font>
      <b/>
      <sz val="22"/>
      <color theme="1"/>
      <name val="Times New Roman"/>
      <family val="1"/>
    </font>
    <font>
      <b/>
      <sz val="22"/>
      <color theme="1"/>
      <name val="Calibri"/>
      <family val="2"/>
    </font>
    <font>
      <sz val="11"/>
      <color rgb="FFFFFF00"/>
      <name val="Calibri"/>
      <family val="2"/>
    </font>
    <font>
      <sz val="16"/>
      <color theme="1"/>
      <name val="Calibri"/>
      <family val="2"/>
    </font>
    <font>
      <b/>
      <sz val="20"/>
      <color theme="1"/>
      <name val="Times New Roman"/>
      <family val="1"/>
    </font>
    <font>
      <b/>
      <sz val="20"/>
      <color theme="1"/>
      <name val="Calibri"/>
      <family val="2"/>
    </font>
    <font>
      <i/>
      <u val="single"/>
      <sz val="14"/>
      <color theme="1"/>
      <name val="Times New Roman"/>
      <family val="1"/>
    </font>
    <font>
      <i/>
      <sz val="14"/>
      <color theme="1"/>
      <name val="Times"/>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style="thin"/>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7" borderId="1" applyNumberFormat="0" applyAlignment="0" applyProtection="0"/>
    <xf numFmtId="0" fontId="8"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84" fillId="0" borderId="0">
      <alignment/>
      <protection/>
    </xf>
    <xf numFmtId="0" fontId="25" fillId="0" borderId="0">
      <alignment/>
      <protection/>
    </xf>
    <xf numFmtId="0" fontId="25" fillId="0" borderId="0">
      <alignment/>
      <protection/>
    </xf>
    <xf numFmtId="0" fontId="9" fillId="0" borderId="0" applyNumberFormat="0" applyFill="0" applyBorder="0" applyAlignment="0" applyProtection="0"/>
    <xf numFmtId="0" fontId="96" fillId="30" borderId="0" applyNumberFormat="0" applyBorder="0" applyAlignment="0" applyProtection="0"/>
    <xf numFmtId="0" fontId="9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100" fillId="32" borderId="0" applyNumberFormat="0" applyBorder="0" applyAlignment="0" applyProtection="0"/>
  </cellStyleXfs>
  <cellXfs count="784">
    <xf numFmtId="0" fontId="0" fillId="0" borderId="0" xfId="0" applyAlignment="1">
      <alignment/>
    </xf>
    <xf numFmtId="0" fontId="84" fillId="33" borderId="0" xfId="53" applyFill="1">
      <alignment/>
      <protection/>
    </xf>
    <xf numFmtId="0" fontId="101" fillId="33" borderId="0" xfId="53" applyFont="1" applyFill="1" applyAlignment="1">
      <alignment horizontal="right" vertical="center"/>
      <protection/>
    </xf>
    <xf numFmtId="0" fontId="102" fillId="33" borderId="0" xfId="53" applyFont="1" applyFill="1" applyAlignment="1">
      <alignment horizontal="right" vertical="center"/>
      <protection/>
    </xf>
    <xf numFmtId="0" fontId="101" fillId="33" borderId="10" xfId="53" applyFont="1" applyFill="1" applyBorder="1" applyAlignment="1">
      <alignment horizontal="center" vertical="center" wrapText="1"/>
      <protection/>
    </xf>
    <xf numFmtId="0" fontId="103" fillId="33" borderId="11" xfId="53" applyFont="1" applyFill="1" applyBorder="1" applyAlignment="1">
      <alignment horizontal="center" vertical="center" wrapText="1"/>
      <protection/>
    </xf>
    <xf numFmtId="43" fontId="101" fillId="33" borderId="11" xfId="65" applyFont="1" applyFill="1" applyBorder="1" applyAlignment="1">
      <alignment horizontal="center" vertical="center" wrapText="1"/>
    </xf>
    <xf numFmtId="43" fontId="103" fillId="33" borderId="11" xfId="65" applyFont="1" applyFill="1" applyBorder="1" applyAlignment="1">
      <alignment horizontal="center" vertical="center" wrapText="1"/>
    </xf>
    <xf numFmtId="0" fontId="101" fillId="33" borderId="0" xfId="53" applyFont="1" applyFill="1" applyAlignment="1">
      <alignment vertical="center"/>
      <protection/>
    </xf>
    <xf numFmtId="43" fontId="103" fillId="33" borderId="11" xfId="53" applyNumberFormat="1" applyFont="1" applyFill="1" applyBorder="1" applyAlignment="1">
      <alignment horizontal="center" vertical="center" wrapText="1"/>
      <protection/>
    </xf>
    <xf numFmtId="0" fontId="101" fillId="33" borderId="11" xfId="53" applyFont="1" applyFill="1" applyBorder="1" applyAlignment="1">
      <alignment horizontal="left" vertical="center" wrapText="1"/>
      <protection/>
    </xf>
    <xf numFmtId="0" fontId="103" fillId="33" borderId="12" xfId="53" applyFont="1" applyFill="1" applyBorder="1" applyAlignment="1">
      <alignment horizontal="center" vertical="center" wrapText="1"/>
      <protection/>
    </xf>
    <xf numFmtId="43" fontId="84" fillId="33" borderId="0" xfId="53" applyNumberFormat="1" applyFill="1">
      <alignment/>
      <protection/>
    </xf>
    <xf numFmtId="0" fontId="101" fillId="33" borderId="10" xfId="53" applyFont="1" applyFill="1" applyBorder="1" applyAlignment="1">
      <alignment horizontal="center" vertical="center"/>
      <protection/>
    </xf>
    <xf numFmtId="43" fontId="101" fillId="33" borderId="12" xfId="65" applyFont="1" applyFill="1" applyBorder="1" applyAlignment="1">
      <alignment horizontal="center" vertical="center" wrapText="1"/>
    </xf>
    <xf numFmtId="49" fontId="101" fillId="33" borderId="12" xfId="53" applyNumberFormat="1" applyFont="1" applyFill="1" applyBorder="1" applyAlignment="1">
      <alignment horizontal="center" vertical="center" wrapText="1"/>
      <protection/>
    </xf>
    <xf numFmtId="49" fontId="101" fillId="33" borderId="11" xfId="65" applyNumberFormat="1" applyFont="1" applyFill="1" applyBorder="1" applyAlignment="1">
      <alignment horizontal="center" vertical="center" wrapText="1"/>
    </xf>
    <xf numFmtId="43" fontId="103" fillId="33" borderId="12" xfId="65" applyFont="1" applyFill="1" applyBorder="1" applyAlignment="1">
      <alignment horizontal="center" vertical="center" wrapText="1"/>
    </xf>
    <xf numFmtId="0" fontId="84" fillId="33" borderId="0" xfId="53" applyFill="1" applyAlignment="1">
      <alignment vertical="center"/>
      <protection/>
    </xf>
    <xf numFmtId="0" fontId="84" fillId="33" borderId="0" xfId="53" applyFill="1" applyAlignment="1">
      <alignment vertical="center" wrapText="1"/>
      <protection/>
    </xf>
    <xf numFmtId="1" fontId="101" fillId="33" borderId="11" xfId="0" applyNumberFormat="1" applyFont="1" applyFill="1" applyBorder="1" applyAlignment="1">
      <alignment horizontal="center" vertical="center" wrapText="1"/>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7"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43" fontId="1" fillId="33" borderId="0" xfId="0" applyNumberFormat="1" applyFont="1" applyFill="1" applyBorder="1" applyAlignment="1">
      <alignment horizontal="left"/>
    </xf>
    <xf numFmtId="0" fontId="4" fillId="33" borderId="0" xfId="0" applyNumberFormat="1" applyFont="1" applyFill="1" applyBorder="1" applyAlignment="1">
      <alignment horizontal="center" vertical="top"/>
    </xf>
    <xf numFmtId="0" fontId="1" fillId="33" borderId="0" xfId="0" applyNumberFormat="1" applyFont="1" applyFill="1" applyBorder="1" applyAlignment="1">
      <alignment wrapText="1"/>
    </xf>
    <xf numFmtId="167" fontId="101" fillId="33" borderId="11" xfId="63" applyFont="1" applyFill="1" applyBorder="1" applyAlignment="1">
      <alignment horizontal="center" vertical="center" wrapText="1"/>
    </xf>
    <xf numFmtId="167" fontId="84" fillId="33" borderId="0" xfId="53" applyNumberFormat="1" applyFill="1">
      <alignment/>
      <protection/>
    </xf>
    <xf numFmtId="0" fontId="104" fillId="33" borderId="0" xfId="53" applyFont="1" applyFill="1">
      <alignment/>
      <protection/>
    </xf>
    <xf numFmtId="0" fontId="104" fillId="33" borderId="0" xfId="53" applyFont="1" applyFill="1" applyAlignment="1">
      <alignment vertical="center"/>
      <protection/>
    </xf>
    <xf numFmtId="0" fontId="104" fillId="33" borderId="0" xfId="53" applyFont="1" applyFill="1" applyAlignment="1">
      <alignment vertical="center" wrapText="1"/>
      <protection/>
    </xf>
    <xf numFmtId="43" fontId="104" fillId="33" borderId="0" xfId="53" applyNumberFormat="1" applyFont="1" applyFill="1">
      <alignment/>
      <protection/>
    </xf>
    <xf numFmtId="0" fontId="101" fillId="33" borderId="10" xfId="53" applyFont="1" applyFill="1" applyBorder="1" applyAlignment="1">
      <alignment horizontal="center"/>
      <protection/>
    </xf>
    <xf numFmtId="0" fontId="101" fillId="33" borderId="13" xfId="53" applyFont="1" applyFill="1" applyBorder="1" applyAlignment="1">
      <alignment horizontal="center"/>
      <protection/>
    </xf>
    <xf numFmtId="167" fontId="104" fillId="33" borderId="0" xfId="53" applyNumberFormat="1" applyFont="1" applyFill="1">
      <alignment/>
      <protection/>
    </xf>
    <xf numFmtId="175" fontId="104" fillId="33" borderId="0" xfId="53" applyNumberFormat="1" applyFont="1" applyFill="1">
      <alignment/>
      <protection/>
    </xf>
    <xf numFmtId="0" fontId="101" fillId="33" borderId="12" xfId="53" applyFont="1" applyFill="1" applyBorder="1">
      <alignment/>
      <protection/>
    </xf>
    <xf numFmtId="167" fontId="103" fillId="33" borderId="12" xfId="53" applyNumberFormat="1" applyFont="1" applyFill="1" applyBorder="1" applyAlignment="1">
      <alignment vertical="center"/>
      <protection/>
    </xf>
    <xf numFmtId="0" fontId="105" fillId="33" borderId="0" xfId="53" applyFont="1" applyFill="1">
      <alignment/>
      <protection/>
    </xf>
    <xf numFmtId="0" fontId="7" fillId="33" borderId="0" xfId="0" applyNumberFormat="1" applyFont="1" applyFill="1" applyBorder="1" applyAlignment="1">
      <alignment horizontal="left" wrapText="1"/>
    </xf>
    <xf numFmtId="4" fontId="106" fillId="0" borderId="14" xfId="0" applyNumberFormat="1" applyFont="1" applyBorder="1" applyAlignment="1">
      <alignment/>
    </xf>
    <xf numFmtId="4" fontId="84" fillId="33" borderId="0" xfId="53" applyNumberFormat="1" applyFill="1">
      <alignment/>
      <protection/>
    </xf>
    <xf numFmtId="0" fontId="101" fillId="33" borderId="0" xfId="53" applyFont="1" applyFill="1" applyBorder="1" applyAlignment="1">
      <alignment horizontal="center" vertical="center" wrapText="1"/>
      <protection/>
    </xf>
    <xf numFmtId="4" fontId="101" fillId="33" borderId="11" xfId="53" applyNumberFormat="1" applyFont="1" applyFill="1" applyBorder="1" applyAlignment="1">
      <alignment horizontal="center" vertical="center" wrapText="1"/>
      <protection/>
    </xf>
    <xf numFmtId="4" fontId="101" fillId="33" borderId="0" xfId="53" applyNumberFormat="1" applyFont="1" applyFill="1" applyBorder="1" applyAlignment="1">
      <alignment horizontal="center" vertical="center" wrapText="1"/>
      <protection/>
    </xf>
    <xf numFmtId="0" fontId="0" fillId="33" borderId="0" xfId="0" applyFill="1" applyAlignment="1">
      <alignment/>
    </xf>
    <xf numFmtId="43" fontId="84" fillId="33" borderId="0" xfId="65" applyNumberFormat="1" applyFont="1" applyFill="1" applyAlignment="1">
      <alignment/>
    </xf>
    <xf numFmtId="2" fontId="101" fillId="33" borderId="11" xfId="53" applyNumberFormat="1" applyFont="1" applyFill="1" applyBorder="1" applyAlignment="1">
      <alignment horizontal="center" vertical="center" wrapText="1"/>
      <protection/>
    </xf>
    <xf numFmtId="43" fontId="84" fillId="33" borderId="0" xfId="65" applyFont="1" applyFill="1" applyAlignment="1">
      <alignment/>
    </xf>
    <xf numFmtId="172" fontId="84" fillId="33" borderId="0" xfId="53" applyNumberFormat="1" applyFill="1">
      <alignment/>
      <protection/>
    </xf>
    <xf numFmtId="173" fontId="84" fillId="33" borderId="0" xfId="53" applyNumberFormat="1" applyFill="1">
      <alignment/>
      <protection/>
    </xf>
    <xf numFmtId="0" fontId="84" fillId="33" borderId="0" xfId="53" applyFill="1" applyBorder="1">
      <alignment/>
      <protection/>
    </xf>
    <xf numFmtId="0" fontId="101" fillId="33" borderId="11" xfId="53" applyFont="1" applyFill="1" applyBorder="1" applyAlignment="1">
      <alignment vertical="center" wrapText="1"/>
      <protection/>
    </xf>
    <xf numFmtId="0" fontId="107" fillId="33" borderId="0" xfId="53" applyFont="1" applyFill="1">
      <alignment/>
      <protection/>
    </xf>
    <xf numFmtId="0" fontId="101" fillId="33" borderId="15" xfId="53" applyFont="1" applyFill="1" applyBorder="1" applyAlignment="1">
      <alignment horizontal="justify" vertical="center" wrapText="1"/>
      <protection/>
    </xf>
    <xf numFmtId="0" fontId="101" fillId="33" borderId="11" xfId="53" applyFont="1" applyFill="1" applyBorder="1" applyAlignment="1">
      <alignment horizontal="justify" vertical="center" wrapText="1"/>
      <protection/>
    </xf>
    <xf numFmtId="0" fontId="107" fillId="33" borderId="0" xfId="53" applyFont="1" applyFill="1" applyAlignment="1">
      <alignment horizontal="center"/>
      <protection/>
    </xf>
    <xf numFmtId="0" fontId="101" fillId="33" borderId="11" xfId="53" applyFont="1" applyFill="1" applyBorder="1" applyAlignment="1">
      <alignment horizontal="left" vertical="center" wrapText="1" indent="4"/>
      <protection/>
    </xf>
    <xf numFmtId="2" fontId="92" fillId="33" borderId="0" xfId="53" applyNumberFormat="1" applyFont="1" applyFill="1" applyAlignment="1">
      <alignment horizontal="center"/>
      <protection/>
    </xf>
    <xf numFmtId="167" fontId="108" fillId="33" borderId="0" xfId="63" applyFont="1" applyFill="1" applyAlignment="1">
      <alignment horizontal="left"/>
    </xf>
    <xf numFmtId="0" fontId="85" fillId="33" borderId="0" xfId="53" applyFont="1" applyFill="1">
      <alignment/>
      <protection/>
    </xf>
    <xf numFmtId="0" fontId="103" fillId="33" borderId="10" xfId="53" applyFont="1" applyFill="1" applyBorder="1" applyAlignment="1">
      <alignment horizontal="right" vertical="center" wrapText="1"/>
      <protection/>
    </xf>
    <xf numFmtId="2" fontId="103" fillId="33" borderId="13" xfId="53" applyNumberFormat="1" applyFont="1" applyFill="1" applyBorder="1" applyAlignment="1">
      <alignment horizontal="center" vertical="center" wrapText="1"/>
      <protection/>
    </xf>
    <xf numFmtId="0" fontId="63" fillId="33" borderId="0" xfId="53" applyFont="1" applyFill="1">
      <alignment/>
      <protection/>
    </xf>
    <xf numFmtId="2" fontId="107" fillId="33" borderId="0" xfId="53" applyNumberFormat="1" applyFont="1" applyFill="1">
      <alignment/>
      <protection/>
    </xf>
    <xf numFmtId="0" fontId="101" fillId="33" borderId="11" xfId="53" applyFont="1" applyFill="1" applyBorder="1" applyAlignment="1">
      <alignment horizontal="right" vertical="center" wrapText="1"/>
      <protection/>
    </xf>
    <xf numFmtId="0" fontId="101" fillId="33" borderId="0" xfId="53" applyFont="1" applyFill="1" applyAlignment="1">
      <alignment horizontal="justify" vertical="center"/>
      <protection/>
    </xf>
    <xf numFmtId="2" fontId="84" fillId="33" borderId="0" xfId="65" applyNumberFormat="1" applyFont="1" applyFill="1" applyAlignment="1">
      <alignment horizontal="center"/>
    </xf>
    <xf numFmtId="167" fontId="84" fillId="33" borderId="0" xfId="63" applyFont="1" applyFill="1" applyAlignment="1">
      <alignment/>
    </xf>
    <xf numFmtId="43" fontId="84" fillId="33" borderId="14" xfId="65" applyNumberFormat="1" applyFont="1" applyFill="1" applyBorder="1" applyAlignment="1">
      <alignment/>
    </xf>
    <xf numFmtId="0" fontId="84" fillId="33" borderId="14" xfId="53" applyFill="1" applyBorder="1">
      <alignment/>
      <protection/>
    </xf>
    <xf numFmtId="43" fontId="84" fillId="33" borderId="14" xfId="53" applyNumberFormat="1" applyFill="1" applyBorder="1">
      <alignment/>
      <protection/>
    </xf>
    <xf numFmtId="167" fontId="84" fillId="33" borderId="14" xfId="63" applyFont="1" applyFill="1" applyBorder="1" applyAlignment="1">
      <alignment/>
    </xf>
    <xf numFmtId="2" fontId="84" fillId="33" borderId="14" xfId="65" applyNumberFormat="1" applyFont="1" applyFill="1" applyBorder="1" applyAlignment="1">
      <alignment horizontal="left"/>
    </xf>
    <xf numFmtId="43" fontId="84" fillId="33" borderId="14" xfId="65" applyFont="1" applyFill="1" applyBorder="1" applyAlignment="1">
      <alignment/>
    </xf>
    <xf numFmtId="4" fontId="84" fillId="33" borderId="14" xfId="53" applyNumberFormat="1" applyFill="1" applyBorder="1">
      <alignment/>
      <protection/>
    </xf>
    <xf numFmtId="43" fontId="99" fillId="33" borderId="0" xfId="53" applyNumberFormat="1" applyFont="1" applyFill="1">
      <alignment/>
      <protection/>
    </xf>
    <xf numFmtId="0" fontId="109" fillId="33" borderId="0" xfId="53" applyFont="1" applyFill="1">
      <alignment/>
      <protection/>
    </xf>
    <xf numFmtId="43" fontId="109" fillId="33" borderId="0" xfId="53" applyNumberFormat="1" applyFont="1" applyFill="1" applyAlignment="1">
      <alignment horizontal="left"/>
      <protection/>
    </xf>
    <xf numFmtId="0" fontId="103" fillId="33" borderId="0" xfId="53" applyFont="1" applyFill="1" applyBorder="1" applyAlignment="1">
      <alignment horizontal="right" vertical="center" wrapText="1"/>
      <protection/>
    </xf>
    <xf numFmtId="43" fontId="103" fillId="33" borderId="0" xfId="65" applyFont="1" applyFill="1" applyBorder="1" applyAlignment="1">
      <alignment horizontal="center" vertical="center" wrapText="1"/>
    </xf>
    <xf numFmtId="1" fontId="101" fillId="33" borderId="11" xfId="53" applyNumberFormat="1" applyFont="1" applyFill="1" applyBorder="1" applyAlignment="1">
      <alignment horizontal="center" vertical="center" wrapText="1"/>
      <protection/>
    </xf>
    <xf numFmtId="4" fontId="103" fillId="33" borderId="11" xfId="53" applyNumberFormat="1" applyFont="1" applyFill="1" applyBorder="1" applyAlignment="1">
      <alignment horizontal="center" vertical="center" wrapText="1"/>
      <protection/>
    </xf>
    <xf numFmtId="174" fontId="84" fillId="33" borderId="0" xfId="53" applyNumberFormat="1" applyFill="1">
      <alignment/>
      <protection/>
    </xf>
    <xf numFmtId="167" fontId="110" fillId="33" borderId="0" xfId="63" applyFont="1" applyFill="1" applyAlignment="1">
      <alignment horizontal="center"/>
    </xf>
    <xf numFmtId="0" fontId="101" fillId="33" borderId="0" xfId="53" applyFont="1" applyFill="1">
      <alignment/>
      <protection/>
    </xf>
    <xf numFmtId="43" fontId="103" fillId="33" borderId="0" xfId="53" applyNumberFormat="1" applyFont="1" applyFill="1" applyBorder="1" applyAlignment="1">
      <alignment horizontal="center" vertical="center" wrapText="1"/>
      <protection/>
    </xf>
    <xf numFmtId="167" fontId="101" fillId="33" borderId="12" xfId="63" applyFont="1" applyFill="1" applyBorder="1" applyAlignment="1">
      <alignment horizontal="center" vertical="center" wrapText="1"/>
    </xf>
    <xf numFmtId="43" fontId="101" fillId="33" borderId="0" xfId="65" applyFont="1" applyFill="1" applyBorder="1" applyAlignment="1">
      <alignment horizontal="center" vertical="center" wrapText="1"/>
    </xf>
    <xf numFmtId="167" fontId="103" fillId="33" borderId="12" xfId="63" applyFont="1" applyFill="1" applyBorder="1" applyAlignment="1">
      <alignment horizontal="center" vertical="center" wrapText="1"/>
    </xf>
    <xf numFmtId="43" fontId="23" fillId="33" borderId="0" xfId="0" applyNumberFormat="1" applyFont="1" applyFill="1" applyBorder="1" applyAlignment="1">
      <alignment horizontal="left" wrapText="1"/>
    </xf>
    <xf numFmtId="0" fontId="84" fillId="0" borderId="0" xfId="53" applyFill="1">
      <alignment/>
      <protection/>
    </xf>
    <xf numFmtId="0" fontId="101" fillId="0" borderId="0" xfId="53" applyFont="1" applyFill="1" applyBorder="1" applyAlignment="1">
      <alignment horizontal="center" vertical="center" wrapText="1"/>
      <protection/>
    </xf>
    <xf numFmtId="0" fontId="101" fillId="0" borderId="16" xfId="53" applyFont="1" applyFill="1" applyBorder="1" applyAlignment="1">
      <alignment horizontal="center" vertical="center" wrapText="1"/>
      <protection/>
    </xf>
    <xf numFmtId="0" fontId="101" fillId="0" borderId="10" xfId="53" applyFont="1" applyFill="1" applyBorder="1" applyAlignment="1">
      <alignment horizontal="center" vertical="center" wrapText="1"/>
      <protection/>
    </xf>
    <xf numFmtId="43" fontId="84" fillId="0" borderId="0" xfId="53" applyNumberFormat="1" applyFill="1">
      <alignment/>
      <protection/>
    </xf>
    <xf numFmtId="0" fontId="103" fillId="0" borderId="0" xfId="53" applyFont="1" applyFill="1" applyBorder="1" applyAlignment="1">
      <alignment horizontal="right" vertical="center" wrapText="1"/>
      <protection/>
    </xf>
    <xf numFmtId="0" fontId="3"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3"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7" fillId="33" borderId="0" xfId="0" applyNumberFormat="1" applyFont="1" applyFill="1" applyBorder="1" applyAlignment="1">
      <alignment horizontal="left" vertical="center"/>
    </xf>
    <xf numFmtId="49" fontId="1" fillId="33" borderId="0" xfId="0" applyNumberFormat="1" applyFont="1" applyFill="1" applyBorder="1" applyAlignment="1">
      <alignment horizontal="center" vertical="top"/>
    </xf>
    <xf numFmtId="0" fontId="7" fillId="33" borderId="0" xfId="0" applyNumberFormat="1" applyFont="1" applyFill="1" applyBorder="1" applyAlignment="1">
      <alignment horizontal="center" vertical="center"/>
    </xf>
    <xf numFmtId="43" fontId="7" fillId="33" borderId="0" xfId="0" applyNumberFormat="1" applyFont="1" applyFill="1" applyBorder="1" applyAlignment="1">
      <alignment horizontal="left"/>
    </xf>
    <xf numFmtId="43" fontId="7" fillId="33" borderId="0" xfId="0" applyNumberFormat="1" applyFont="1" applyFill="1" applyBorder="1" applyAlignment="1">
      <alignment horizontal="left" vertical="center"/>
    </xf>
    <xf numFmtId="43" fontId="1" fillId="33" borderId="0" xfId="0" applyNumberFormat="1" applyFont="1" applyFill="1" applyBorder="1" applyAlignment="1">
      <alignment horizontal="left" vertical="center"/>
    </xf>
    <xf numFmtId="167" fontId="1" fillId="33" borderId="0" xfId="0" applyNumberFormat="1" applyFont="1" applyFill="1" applyBorder="1" applyAlignment="1">
      <alignment horizontal="left"/>
    </xf>
    <xf numFmtId="43" fontId="7" fillId="33" borderId="0" xfId="0" applyNumberFormat="1" applyFont="1" applyFill="1" applyBorder="1" applyAlignment="1">
      <alignment horizontal="center" vertical="center"/>
    </xf>
    <xf numFmtId="0" fontId="111" fillId="33" borderId="0" xfId="0" applyNumberFormat="1" applyFont="1" applyFill="1" applyBorder="1" applyAlignment="1">
      <alignment horizontal="center" vertical="center"/>
    </xf>
    <xf numFmtId="177" fontId="1" fillId="33" borderId="0" xfId="0" applyNumberFormat="1" applyFont="1" applyFill="1" applyBorder="1" applyAlignment="1">
      <alignment horizontal="left"/>
    </xf>
    <xf numFmtId="4" fontId="112" fillId="33" borderId="0" xfId="0" applyNumberFormat="1" applyFont="1" applyFill="1" applyBorder="1" applyAlignment="1">
      <alignment horizontal="center"/>
    </xf>
    <xf numFmtId="4" fontId="1" fillId="33" borderId="0" xfId="0" applyNumberFormat="1" applyFont="1" applyFill="1" applyBorder="1" applyAlignment="1">
      <alignment horizontal="left"/>
    </xf>
    <xf numFmtId="43" fontId="19" fillId="33" borderId="0" xfId="0" applyNumberFormat="1" applyFont="1" applyFill="1" applyBorder="1" applyAlignment="1">
      <alignment horizontal="center"/>
    </xf>
    <xf numFmtId="0" fontId="19" fillId="33" borderId="0" xfId="0" applyNumberFormat="1" applyFont="1" applyFill="1" applyBorder="1" applyAlignment="1">
      <alignment horizontal="left"/>
    </xf>
    <xf numFmtId="0" fontId="20" fillId="33" borderId="0" xfId="0" applyNumberFormat="1" applyFont="1" applyFill="1" applyBorder="1" applyAlignment="1">
      <alignment horizontal="left"/>
    </xf>
    <xf numFmtId="167" fontId="20" fillId="33" borderId="0" xfId="63" applyFont="1" applyFill="1" applyBorder="1" applyAlignment="1">
      <alignment horizontal="left"/>
    </xf>
    <xf numFmtId="167" fontId="20" fillId="33" borderId="0" xfId="63" applyFont="1" applyFill="1" applyBorder="1" applyAlignment="1">
      <alignment horizontal="center"/>
    </xf>
    <xf numFmtId="43" fontId="20" fillId="33" borderId="0" xfId="0" applyNumberFormat="1" applyFont="1" applyFill="1" applyBorder="1" applyAlignment="1">
      <alignment horizontal="center"/>
    </xf>
    <xf numFmtId="167" fontId="19" fillId="33" borderId="0" xfId="63" applyFont="1" applyFill="1" applyBorder="1" applyAlignment="1">
      <alignment horizontal="left"/>
    </xf>
    <xf numFmtId="167" fontId="19" fillId="33" borderId="0" xfId="63" applyFont="1" applyFill="1" applyBorder="1" applyAlignment="1">
      <alignment horizontal="center"/>
    </xf>
    <xf numFmtId="43" fontId="19" fillId="33" borderId="0" xfId="0" applyNumberFormat="1" applyFont="1" applyFill="1" applyBorder="1" applyAlignment="1">
      <alignment horizontal="left"/>
    </xf>
    <xf numFmtId="171" fontId="20" fillId="33" borderId="0" xfId="0" applyNumberFormat="1" applyFont="1" applyFill="1" applyBorder="1" applyAlignment="1">
      <alignment horizontal="left"/>
    </xf>
    <xf numFmtId="167" fontId="1" fillId="33" borderId="0" xfId="63" applyFont="1" applyFill="1" applyBorder="1" applyAlignment="1">
      <alignment horizontal="left"/>
    </xf>
    <xf numFmtId="0" fontId="24" fillId="33" borderId="0" xfId="0" applyNumberFormat="1" applyFont="1" applyFill="1" applyBorder="1" applyAlignment="1">
      <alignment horizontal="left"/>
    </xf>
    <xf numFmtId="43" fontId="3" fillId="33" borderId="0" xfId="0" applyNumberFormat="1" applyFont="1" applyFill="1" applyBorder="1" applyAlignment="1">
      <alignment horizontal="left"/>
    </xf>
    <xf numFmtId="167" fontId="26" fillId="33" borderId="0" xfId="63" applyFont="1" applyFill="1" applyBorder="1" applyAlignment="1">
      <alignment horizontal="left"/>
    </xf>
    <xf numFmtId="167" fontId="3" fillId="33" borderId="0" xfId="63" applyFont="1" applyFill="1" applyBorder="1" applyAlignment="1">
      <alignment horizontal="left"/>
    </xf>
    <xf numFmtId="167" fontId="7" fillId="33" borderId="0" xfId="63" applyFont="1" applyFill="1" applyBorder="1" applyAlignment="1">
      <alignment horizontal="center"/>
    </xf>
    <xf numFmtId="167" fontId="7" fillId="33" borderId="0" xfId="63" applyFont="1" applyFill="1" applyBorder="1" applyAlignment="1">
      <alignment horizontal="left"/>
    </xf>
    <xf numFmtId="167" fontId="1" fillId="33" borderId="0" xfId="63" applyFont="1" applyFill="1" applyBorder="1" applyAlignment="1">
      <alignment horizontal="center"/>
    </xf>
    <xf numFmtId="0" fontId="103" fillId="33" borderId="11" xfId="53" applyFont="1" applyFill="1" applyBorder="1" applyAlignment="1">
      <alignment horizontal="right" vertical="center" wrapText="1"/>
      <protection/>
    </xf>
    <xf numFmtId="4" fontId="101" fillId="33" borderId="11" xfId="63" applyNumberFormat="1" applyFont="1" applyFill="1" applyBorder="1" applyAlignment="1">
      <alignment horizontal="center" vertical="center" wrapText="1"/>
    </xf>
    <xf numFmtId="4" fontId="113" fillId="33" borderId="0" xfId="0" applyNumberFormat="1" applyFont="1" applyFill="1" applyBorder="1" applyAlignment="1">
      <alignment horizontal="center"/>
    </xf>
    <xf numFmtId="168" fontId="113" fillId="33" borderId="0" xfId="0" applyNumberFormat="1" applyFont="1" applyFill="1" applyBorder="1" applyAlignment="1">
      <alignment horizontal="center"/>
    </xf>
    <xf numFmtId="177" fontId="114" fillId="33" borderId="0" xfId="0" applyNumberFormat="1" applyFont="1" applyFill="1" applyBorder="1" applyAlignment="1">
      <alignment horizontal="center"/>
    </xf>
    <xf numFmtId="4" fontId="1" fillId="33" borderId="0" xfId="0" applyNumberFormat="1" applyFont="1" applyFill="1" applyBorder="1" applyAlignment="1">
      <alignment horizontal="center"/>
    </xf>
    <xf numFmtId="0" fontId="1" fillId="33" borderId="0" xfId="0" applyNumberFormat="1" applyFont="1" applyFill="1" applyBorder="1" applyAlignment="1">
      <alignment horizontal="left"/>
    </xf>
    <xf numFmtId="0" fontId="101" fillId="33" borderId="12" xfId="53" applyFont="1" applyFill="1" applyBorder="1" applyAlignment="1">
      <alignment horizontal="center" vertical="center" wrapText="1"/>
      <protection/>
    </xf>
    <xf numFmtId="0" fontId="101" fillId="33" borderId="13" xfId="53" applyFont="1" applyFill="1" applyBorder="1" applyAlignment="1">
      <alignment horizontal="center" vertical="center" wrapText="1"/>
      <protection/>
    </xf>
    <xf numFmtId="0" fontId="101" fillId="33" borderId="11" xfId="53" applyFont="1" applyFill="1" applyBorder="1" applyAlignment="1">
      <alignment horizontal="center" vertical="center" wrapText="1"/>
      <protection/>
    </xf>
    <xf numFmtId="0" fontId="101" fillId="0" borderId="12" xfId="53" applyFont="1" applyFill="1" applyBorder="1" applyAlignment="1">
      <alignment horizontal="center" vertical="center" wrapText="1"/>
      <protection/>
    </xf>
    <xf numFmtId="0" fontId="101" fillId="0" borderId="17" xfId="53" applyFont="1" applyFill="1" applyBorder="1" applyAlignment="1">
      <alignment horizontal="center" vertical="center" wrapText="1"/>
      <protection/>
    </xf>
    <xf numFmtId="0" fontId="101" fillId="0" borderId="13" xfId="53" applyFont="1" applyFill="1" applyBorder="1" applyAlignment="1">
      <alignment horizontal="center" vertical="center" wrapText="1"/>
      <protection/>
    </xf>
    <xf numFmtId="0" fontId="103" fillId="0" borderId="0" xfId="53" applyFont="1" applyFill="1" applyBorder="1" applyAlignment="1">
      <alignment horizontal="center" vertical="center" wrapText="1"/>
      <protection/>
    </xf>
    <xf numFmtId="0" fontId="101" fillId="0" borderId="0" xfId="53" applyFont="1" applyFill="1" applyAlignment="1">
      <alignment horizontal="left" vertical="center"/>
      <protection/>
    </xf>
    <xf numFmtId="0" fontId="103" fillId="33" borderId="0" xfId="53" applyFont="1" applyFill="1" applyBorder="1" applyAlignment="1">
      <alignment horizontal="center" vertical="center" wrapText="1"/>
      <protection/>
    </xf>
    <xf numFmtId="0" fontId="1" fillId="33" borderId="18" xfId="0" applyNumberFormat="1" applyFont="1" applyFill="1" applyBorder="1" applyAlignment="1">
      <alignment horizontal="left" wrapText="1" indent="4"/>
    </xf>
    <xf numFmtId="0" fontId="1" fillId="33" borderId="0" xfId="0" applyNumberFormat="1" applyFont="1" applyFill="1" applyBorder="1" applyAlignment="1">
      <alignment horizontal="left" indent="4"/>
    </xf>
    <xf numFmtId="0" fontId="115" fillId="0" borderId="0" xfId="53" applyFont="1" applyFill="1" applyAlignment="1">
      <alignment horizontal="left" vertical="center"/>
      <protection/>
    </xf>
    <xf numFmtId="0" fontId="103" fillId="0" borderId="0" xfId="53" applyFont="1" applyFill="1" applyAlignment="1">
      <alignment horizontal="left" vertical="center"/>
      <protection/>
    </xf>
    <xf numFmtId="0" fontId="103" fillId="0" borderId="0" xfId="53" applyFont="1" applyFill="1">
      <alignment/>
      <protection/>
    </xf>
    <xf numFmtId="0" fontId="101" fillId="0" borderId="15" xfId="53" applyFont="1" applyFill="1" applyBorder="1" applyAlignment="1">
      <alignment horizontal="center" vertical="center" wrapText="1"/>
      <protection/>
    </xf>
    <xf numFmtId="43" fontId="101" fillId="0" borderId="10" xfId="66" applyFont="1" applyFill="1" applyBorder="1" applyAlignment="1">
      <alignment horizontal="center" vertical="center" wrapText="1"/>
    </xf>
    <xf numFmtId="0" fontId="108" fillId="0" borderId="0" xfId="53" applyFont="1" applyFill="1">
      <alignment/>
      <protection/>
    </xf>
    <xf numFmtId="43" fontId="101" fillId="0" borderId="0" xfId="66" applyFont="1" applyFill="1" applyBorder="1" applyAlignment="1">
      <alignment horizontal="center" vertical="center" wrapText="1"/>
    </xf>
    <xf numFmtId="43" fontId="103" fillId="0" borderId="0" xfId="53" applyNumberFormat="1" applyFont="1" applyFill="1" applyBorder="1" applyAlignment="1">
      <alignment horizontal="center" vertical="center" wrapText="1"/>
      <protection/>
    </xf>
    <xf numFmtId="43" fontId="103" fillId="0" borderId="10" xfId="53" applyNumberFormat="1" applyFont="1" applyFill="1" applyBorder="1" applyAlignment="1">
      <alignment horizontal="center" vertical="center" wrapText="1"/>
      <protection/>
    </xf>
    <xf numFmtId="43" fontId="101" fillId="33" borderId="10" xfId="66" applyFont="1" applyFill="1" applyBorder="1" applyAlignment="1">
      <alignment horizontal="center" vertical="center" wrapText="1"/>
    </xf>
    <xf numFmtId="0" fontId="108" fillId="33" borderId="0" xfId="53" applyFont="1" applyFill="1">
      <alignment/>
      <protection/>
    </xf>
    <xf numFmtId="43" fontId="101" fillId="33" borderId="10" xfId="65" applyFont="1" applyFill="1" applyBorder="1" applyAlignment="1">
      <alignment horizontal="center" vertical="center" wrapText="1"/>
    </xf>
    <xf numFmtId="0" fontId="103" fillId="0" borderId="0" xfId="53" applyFont="1" applyFill="1" applyAlignment="1">
      <alignment vertical="center"/>
      <protection/>
    </xf>
    <xf numFmtId="4" fontId="34" fillId="33" borderId="0" xfId="0" applyNumberFormat="1" applyFont="1" applyFill="1" applyBorder="1" applyAlignment="1">
      <alignment horizontal="center"/>
    </xf>
    <xf numFmtId="177" fontId="34" fillId="33" borderId="0" xfId="0" applyNumberFormat="1" applyFont="1" applyFill="1" applyBorder="1" applyAlignment="1">
      <alignment horizontal="center"/>
    </xf>
    <xf numFmtId="0" fontId="3" fillId="33" borderId="0" xfId="0" applyNumberFormat="1" applyFont="1" applyFill="1" applyBorder="1" applyAlignment="1">
      <alignment horizontal="justify" wrapText="1"/>
    </xf>
    <xf numFmtId="4" fontId="101" fillId="33" borderId="11" xfId="0" applyNumberFormat="1" applyFont="1" applyFill="1" applyBorder="1" applyAlignment="1">
      <alignment horizontal="center" vertical="center" wrapText="1"/>
    </xf>
    <xf numFmtId="10" fontId="101" fillId="33" borderId="11" xfId="53" applyNumberFormat="1" applyFont="1" applyFill="1" applyBorder="1" applyAlignment="1">
      <alignment horizontal="center" vertical="center" wrapText="1"/>
      <protection/>
    </xf>
    <xf numFmtId="4" fontId="103" fillId="33" borderId="11" xfId="65" applyNumberFormat="1" applyFont="1" applyFill="1" applyBorder="1" applyAlignment="1">
      <alignment horizontal="center" vertical="center" wrapText="1"/>
    </xf>
    <xf numFmtId="4" fontId="92" fillId="33" borderId="0" xfId="53" applyNumberFormat="1" applyFont="1" applyFill="1">
      <alignment/>
      <protection/>
    </xf>
    <xf numFmtId="0" fontId="103" fillId="33" borderId="11" xfId="53" applyFont="1" applyFill="1" applyBorder="1" applyAlignment="1">
      <alignment horizontal="right" vertical="center" wrapText="1"/>
      <protection/>
    </xf>
    <xf numFmtId="0" fontId="101" fillId="33" borderId="12" xfId="53" applyFont="1" applyFill="1" applyBorder="1" applyAlignment="1">
      <alignment horizontal="center" vertical="center" wrapText="1"/>
      <protection/>
    </xf>
    <xf numFmtId="0" fontId="101" fillId="33" borderId="17" xfId="53" applyFont="1" applyFill="1" applyBorder="1" applyAlignment="1">
      <alignment horizontal="center" vertical="center" wrapText="1"/>
      <protection/>
    </xf>
    <xf numFmtId="0" fontId="101" fillId="33" borderId="13" xfId="53" applyFont="1" applyFill="1" applyBorder="1" applyAlignment="1">
      <alignment horizontal="center" vertical="center" wrapText="1"/>
      <protection/>
    </xf>
    <xf numFmtId="0" fontId="101" fillId="33" borderId="0" xfId="53" applyFont="1" applyFill="1" applyBorder="1" applyAlignment="1">
      <alignment horizontal="center" vertical="center" wrapText="1"/>
      <protection/>
    </xf>
    <xf numFmtId="0" fontId="101" fillId="33" borderId="0" xfId="53" applyFont="1" applyFill="1" applyAlignment="1">
      <alignment horizontal="left" vertical="center"/>
      <protection/>
    </xf>
    <xf numFmtId="0" fontId="101" fillId="33" borderId="11" xfId="53" applyFont="1" applyFill="1" applyBorder="1" applyAlignment="1">
      <alignment horizontal="center" vertical="center" wrapText="1"/>
      <protection/>
    </xf>
    <xf numFmtId="0" fontId="103" fillId="33" borderId="0" xfId="53" applyFont="1" applyFill="1" applyAlignment="1">
      <alignment horizontal="center" vertical="center"/>
      <protection/>
    </xf>
    <xf numFmtId="0" fontId="101" fillId="33" borderId="0" xfId="53" applyFont="1" applyFill="1" applyAlignment="1">
      <alignment horizontal="center" vertical="center"/>
      <protection/>
    </xf>
    <xf numFmtId="0" fontId="84" fillId="33" borderId="0" xfId="53" applyFill="1" applyAlignment="1">
      <alignment horizontal="left"/>
      <protection/>
    </xf>
    <xf numFmtId="0" fontId="103" fillId="33" borderId="0" xfId="53" applyFont="1" applyFill="1">
      <alignment/>
      <protection/>
    </xf>
    <xf numFmtId="0" fontId="101" fillId="33" borderId="16" xfId="53" applyFont="1" applyFill="1" applyBorder="1" applyAlignment="1">
      <alignment horizontal="center" vertical="center" wrapText="1"/>
      <protection/>
    </xf>
    <xf numFmtId="43" fontId="101" fillId="33" borderId="0" xfId="66" applyFont="1" applyFill="1" applyBorder="1" applyAlignment="1">
      <alignment horizontal="center" vertical="center" wrapText="1"/>
    </xf>
    <xf numFmtId="43" fontId="103" fillId="33" borderId="10" xfId="53" applyNumberFormat="1" applyFont="1" applyFill="1" applyBorder="1" applyAlignment="1">
      <alignment horizontal="center" vertical="center" wrapText="1"/>
      <protection/>
    </xf>
    <xf numFmtId="43" fontId="84" fillId="33" borderId="0" xfId="53" applyNumberFormat="1" applyFill="1" applyBorder="1">
      <alignment/>
      <protection/>
    </xf>
    <xf numFmtId="0" fontId="101" fillId="33" borderId="11" xfId="0" applyFont="1" applyFill="1" applyBorder="1" applyAlignment="1">
      <alignment horizontal="center" vertical="center" wrapText="1"/>
    </xf>
    <xf numFmtId="169" fontId="84" fillId="33" borderId="0" xfId="53" applyNumberFormat="1" applyFill="1">
      <alignment/>
      <protection/>
    </xf>
    <xf numFmtId="170" fontId="84" fillId="33" borderId="0" xfId="65" applyNumberFormat="1" applyFont="1" applyFill="1" applyAlignment="1">
      <alignment/>
    </xf>
    <xf numFmtId="176" fontId="116" fillId="33" borderId="0" xfId="65" applyNumberFormat="1" applyFont="1" applyFill="1" applyAlignment="1">
      <alignment/>
    </xf>
    <xf numFmtId="171" fontId="0" fillId="33" borderId="0" xfId="0" applyNumberFormat="1" applyFill="1" applyAlignment="1">
      <alignment/>
    </xf>
    <xf numFmtId="4" fontId="101" fillId="33" borderId="13" xfId="53" applyNumberFormat="1" applyFont="1" applyFill="1" applyBorder="1" applyAlignment="1">
      <alignment horizontal="center" vertical="center" wrapText="1"/>
      <protection/>
    </xf>
    <xf numFmtId="2" fontId="101" fillId="33" borderId="13" xfId="53" applyNumberFormat="1" applyFont="1" applyFill="1" applyBorder="1" applyAlignment="1">
      <alignment horizontal="center" vertical="center" wrapText="1"/>
      <protection/>
    </xf>
    <xf numFmtId="4" fontId="101" fillId="33" borderId="19" xfId="53" applyNumberFormat="1" applyFont="1" applyFill="1" applyBorder="1" applyAlignment="1">
      <alignment horizontal="center" vertical="center"/>
      <protection/>
    </xf>
    <xf numFmtId="4" fontId="101" fillId="33" borderId="10" xfId="53" applyNumberFormat="1" applyFont="1" applyFill="1" applyBorder="1" applyAlignment="1">
      <alignment horizontal="center" vertical="center" wrapText="1"/>
      <protection/>
    </xf>
    <xf numFmtId="43" fontId="103" fillId="33" borderId="11" xfId="65" applyNumberFormat="1" applyFont="1" applyFill="1" applyBorder="1" applyAlignment="1">
      <alignment horizontal="center" vertical="center" wrapText="1"/>
    </xf>
    <xf numFmtId="43" fontId="113" fillId="33" borderId="0" xfId="65" applyNumberFormat="1" applyFont="1" applyFill="1" applyBorder="1" applyAlignment="1">
      <alignment horizontal="center" vertical="center" wrapText="1"/>
    </xf>
    <xf numFmtId="168" fontId="117" fillId="33" borderId="0" xfId="53" applyNumberFormat="1" applyFont="1" applyFill="1">
      <alignment/>
      <protection/>
    </xf>
    <xf numFmtId="168" fontId="84" fillId="33" borderId="0" xfId="53" applyNumberFormat="1" applyFill="1">
      <alignment/>
      <protection/>
    </xf>
    <xf numFmtId="2" fontId="84" fillId="33" borderId="0" xfId="53" applyNumberFormat="1" applyFill="1">
      <alignment/>
      <protection/>
    </xf>
    <xf numFmtId="167" fontId="107" fillId="33" borderId="0" xfId="63" applyFont="1" applyFill="1" applyAlignment="1">
      <alignment/>
    </xf>
    <xf numFmtId="171" fontId="84" fillId="33" borderId="0" xfId="53" applyNumberFormat="1" applyFill="1">
      <alignment/>
      <protection/>
    </xf>
    <xf numFmtId="2" fontId="103" fillId="33" borderId="11" xfId="53" applyNumberFormat="1" applyFont="1" applyFill="1" applyBorder="1" applyAlignment="1">
      <alignment horizontal="center" vertical="center" wrapText="1"/>
      <protection/>
    </xf>
    <xf numFmtId="167" fontId="84" fillId="33" borderId="0" xfId="53" applyNumberFormat="1" applyFill="1" applyAlignment="1">
      <alignment horizontal="left"/>
      <protection/>
    </xf>
    <xf numFmtId="4" fontId="103" fillId="33" borderId="0" xfId="53" applyNumberFormat="1" applyFont="1" applyFill="1">
      <alignment/>
      <protection/>
    </xf>
    <xf numFmtId="4" fontId="101" fillId="33" borderId="11" xfId="65" applyNumberFormat="1" applyFont="1" applyFill="1" applyBorder="1" applyAlignment="1">
      <alignment horizontal="center" vertical="center" wrapText="1"/>
    </xf>
    <xf numFmtId="4" fontId="101" fillId="33" borderId="10" xfId="53" applyNumberFormat="1" applyFont="1" applyFill="1" applyBorder="1" applyAlignment="1">
      <alignment horizontal="center"/>
      <protection/>
    </xf>
    <xf numFmtId="171" fontId="101" fillId="33" borderId="11" xfId="53" applyNumberFormat="1" applyFont="1" applyFill="1" applyBorder="1" applyAlignment="1">
      <alignment horizontal="center" vertical="center" wrapText="1"/>
      <protection/>
    </xf>
    <xf numFmtId="0" fontId="29" fillId="33" borderId="12" xfId="53" applyFont="1" applyFill="1" applyBorder="1" applyAlignment="1">
      <alignment horizontal="center" vertical="center" wrapText="1"/>
      <protection/>
    </xf>
    <xf numFmtId="43" fontId="29" fillId="33" borderId="11" xfId="65" applyFont="1" applyFill="1" applyBorder="1" applyAlignment="1">
      <alignment horizontal="center" vertical="center" wrapText="1"/>
    </xf>
    <xf numFmtId="0" fontId="29" fillId="33" borderId="11" xfId="53" applyFont="1" applyFill="1" applyBorder="1" applyAlignment="1">
      <alignment horizontal="left" vertical="center" wrapText="1"/>
      <protection/>
    </xf>
    <xf numFmtId="0" fontId="29" fillId="33" borderId="11" xfId="53" applyFont="1" applyFill="1" applyBorder="1" applyAlignment="1">
      <alignment horizontal="center" vertical="center" wrapText="1"/>
      <protection/>
    </xf>
    <xf numFmtId="0" fontId="101" fillId="33" borderId="20" xfId="53" applyFont="1" applyFill="1" applyBorder="1" applyAlignment="1">
      <alignment horizontal="left" vertical="center" wrapText="1"/>
      <protection/>
    </xf>
    <xf numFmtId="0" fontId="118" fillId="33" borderId="10" xfId="53" applyFont="1" applyFill="1" applyBorder="1" applyAlignment="1">
      <alignment horizontal="center" vertical="center" wrapText="1"/>
      <protection/>
    </xf>
    <xf numFmtId="4" fontId="101" fillId="33" borderId="11" xfId="53" applyNumberFormat="1" applyFont="1" applyFill="1" applyBorder="1" applyAlignment="1">
      <alignment horizontal="right" vertical="center" wrapText="1"/>
      <protection/>
    </xf>
    <xf numFmtId="43" fontId="103" fillId="33" borderId="11" xfId="65" applyFont="1" applyFill="1" applyBorder="1" applyAlignment="1">
      <alignment horizontal="right" vertical="center" wrapText="1"/>
    </xf>
    <xf numFmtId="4" fontId="119" fillId="33" borderId="14" xfId="0" applyNumberFormat="1" applyFont="1" applyFill="1" applyBorder="1" applyAlignment="1">
      <alignment horizontal="center"/>
    </xf>
    <xf numFmtId="168" fontId="119" fillId="33" borderId="14" xfId="0" applyNumberFormat="1" applyFont="1" applyFill="1" applyBorder="1" applyAlignment="1">
      <alignment horizontal="center"/>
    </xf>
    <xf numFmtId="0" fontId="120" fillId="33" borderId="0" xfId="53" applyFont="1" applyFill="1">
      <alignment/>
      <protection/>
    </xf>
    <xf numFmtId="168" fontId="119" fillId="33" borderId="21" xfId="0" applyNumberFormat="1" applyFont="1" applyFill="1" applyBorder="1" applyAlignment="1">
      <alignment horizontal="center"/>
    </xf>
    <xf numFmtId="4" fontId="37" fillId="33" borderId="14" xfId="0" applyNumberFormat="1" applyFont="1" applyFill="1" applyBorder="1" applyAlignment="1">
      <alignment horizontal="center"/>
    </xf>
    <xf numFmtId="168" fontId="37" fillId="33" borderId="14" xfId="0" applyNumberFormat="1" applyFont="1" applyFill="1" applyBorder="1" applyAlignment="1">
      <alignment horizontal="center"/>
    </xf>
    <xf numFmtId="4" fontId="37" fillId="33" borderId="14" xfId="63" applyNumberFormat="1" applyFont="1" applyFill="1" applyBorder="1" applyAlignment="1">
      <alignment horizontal="center"/>
    </xf>
    <xf numFmtId="168" fontId="37" fillId="33" borderId="14" xfId="63" applyNumberFormat="1" applyFont="1" applyFill="1" applyBorder="1" applyAlignment="1">
      <alignment horizontal="center"/>
    </xf>
    <xf numFmtId="43" fontId="101" fillId="33" borderId="11" xfId="65" applyNumberFormat="1" applyFont="1" applyFill="1" applyBorder="1" applyAlignment="1">
      <alignment horizontal="center" vertical="center" wrapText="1"/>
    </xf>
    <xf numFmtId="4" fontId="84" fillId="0" borderId="0" xfId="53" applyNumberFormat="1" applyFill="1">
      <alignment/>
      <protection/>
    </xf>
    <xf numFmtId="0" fontId="101" fillId="0" borderId="11" xfId="53" applyFont="1" applyFill="1" applyBorder="1" applyAlignment="1">
      <alignment horizontal="center" vertical="center" wrapText="1"/>
      <protection/>
    </xf>
    <xf numFmtId="4" fontId="101" fillId="0" borderId="11" xfId="53" applyNumberFormat="1" applyFont="1" applyFill="1" applyBorder="1" applyAlignment="1">
      <alignment horizontal="center" vertical="center" wrapText="1"/>
      <protection/>
    </xf>
    <xf numFmtId="4" fontId="101" fillId="0" borderId="0" xfId="53" applyNumberFormat="1" applyFont="1" applyFill="1" applyBorder="1" applyAlignment="1">
      <alignment horizontal="center" vertical="center" wrapText="1"/>
      <protection/>
    </xf>
    <xf numFmtId="4" fontId="101" fillId="0" borderId="11" xfId="0" applyNumberFormat="1" applyFont="1" applyFill="1" applyBorder="1" applyAlignment="1">
      <alignment horizontal="center" vertical="center" wrapText="1"/>
    </xf>
    <xf numFmtId="10" fontId="101" fillId="0" borderId="11" xfId="53" applyNumberFormat="1" applyFont="1" applyFill="1" applyBorder="1" applyAlignment="1">
      <alignment horizontal="center" vertical="center" wrapText="1"/>
      <protection/>
    </xf>
    <xf numFmtId="4" fontId="92" fillId="0" borderId="0" xfId="53" applyNumberFormat="1" applyFont="1" applyFill="1">
      <alignment/>
      <protection/>
    </xf>
    <xf numFmtId="4" fontId="103" fillId="0" borderId="11" xfId="65" applyNumberFormat="1" applyFont="1" applyFill="1" applyBorder="1" applyAlignment="1">
      <alignment horizontal="center" vertical="center" wrapText="1"/>
    </xf>
    <xf numFmtId="168" fontId="84" fillId="0" borderId="0" xfId="53" applyNumberFormat="1" applyFill="1">
      <alignment/>
      <protection/>
    </xf>
    <xf numFmtId="0" fontId="103" fillId="0" borderId="11" xfId="53" applyFont="1" applyFill="1" applyBorder="1" applyAlignment="1">
      <alignment horizontal="center" vertical="center" wrapText="1"/>
      <protection/>
    </xf>
    <xf numFmtId="43" fontId="116" fillId="0" borderId="0" xfId="53" applyNumberFormat="1" applyFont="1" applyFill="1">
      <alignment/>
      <protection/>
    </xf>
    <xf numFmtId="0" fontId="116" fillId="0" borderId="0" xfId="53" applyFont="1" applyFill="1">
      <alignment/>
      <protection/>
    </xf>
    <xf numFmtId="4" fontId="116" fillId="0" borderId="0" xfId="53" applyNumberFormat="1" applyFont="1" applyFill="1">
      <alignment/>
      <protection/>
    </xf>
    <xf numFmtId="168" fontId="116" fillId="0" borderId="0" xfId="53" applyNumberFormat="1" applyFont="1" applyFill="1">
      <alignment/>
      <protection/>
    </xf>
    <xf numFmtId="4" fontId="29" fillId="0" borderId="11" xfId="53" applyNumberFormat="1" applyFont="1" applyFill="1" applyBorder="1" applyAlignment="1">
      <alignment horizontal="center" vertical="center" wrapText="1"/>
      <protection/>
    </xf>
    <xf numFmtId="0" fontId="36" fillId="0" borderId="0" xfId="0" applyFont="1" applyFill="1" applyAlignment="1">
      <alignment/>
    </xf>
    <xf numFmtId="169" fontId="116" fillId="0" borderId="0" xfId="53" applyNumberFormat="1" applyFont="1" applyFill="1">
      <alignment/>
      <protection/>
    </xf>
    <xf numFmtId="170" fontId="116" fillId="0" borderId="0" xfId="65" applyNumberFormat="1" applyFont="1" applyFill="1" applyAlignment="1">
      <alignment/>
    </xf>
    <xf numFmtId="43" fontId="103" fillId="0" borderId="0" xfId="65" applyNumberFormat="1" applyFont="1" applyFill="1" applyBorder="1" applyAlignment="1">
      <alignment horizontal="center" vertical="center" wrapText="1"/>
    </xf>
    <xf numFmtId="4" fontId="103" fillId="0" borderId="0" xfId="53" applyNumberFormat="1" applyFont="1" applyFill="1">
      <alignment/>
      <protection/>
    </xf>
    <xf numFmtId="167" fontId="84" fillId="0" borderId="0" xfId="53" applyNumberFormat="1" applyFill="1">
      <alignment/>
      <protection/>
    </xf>
    <xf numFmtId="0" fontId="84" fillId="0" borderId="0" xfId="53" applyFill="1" applyBorder="1">
      <alignment/>
      <protection/>
    </xf>
    <xf numFmtId="0" fontId="101" fillId="0" borderId="11" xfId="53" applyFont="1" applyFill="1" applyBorder="1" applyAlignment="1">
      <alignment vertical="center" wrapText="1"/>
      <protection/>
    </xf>
    <xf numFmtId="0" fontId="101" fillId="0" borderId="15" xfId="53" applyFont="1" applyFill="1" applyBorder="1" applyAlignment="1">
      <alignment horizontal="justify" vertical="center" wrapText="1"/>
      <protection/>
    </xf>
    <xf numFmtId="0" fontId="101" fillId="0" borderId="11" xfId="53" applyFont="1" applyFill="1" applyBorder="1" applyAlignment="1">
      <alignment horizontal="justify" vertical="center" wrapText="1"/>
      <protection/>
    </xf>
    <xf numFmtId="0" fontId="101" fillId="0" borderId="11" xfId="53" applyFont="1" applyFill="1" applyBorder="1" applyAlignment="1">
      <alignment horizontal="left" vertical="center" wrapText="1" indent="4"/>
      <protection/>
    </xf>
    <xf numFmtId="0" fontId="107" fillId="0" borderId="0" xfId="53" applyFont="1" applyFill="1" applyAlignment="1">
      <alignment horizontal="center"/>
      <protection/>
    </xf>
    <xf numFmtId="4" fontId="103" fillId="0" borderId="11" xfId="53" applyNumberFormat="1" applyFont="1" applyFill="1" applyBorder="1" applyAlignment="1">
      <alignment horizontal="center" vertical="center" wrapText="1"/>
      <protection/>
    </xf>
    <xf numFmtId="167" fontId="108" fillId="0" borderId="0" xfId="63" applyFont="1" applyFill="1" applyAlignment="1">
      <alignment horizontal="left"/>
    </xf>
    <xf numFmtId="0" fontId="103" fillId="0" borderId="0" xfId="53" applyFont="1" applyFill="1" applyBorder="1" applyAlignment="1">
      <alignment vertical="center" wrapText="1"/>
      <protection/>
    </xf>
    <xf numFmtId="2" fontId="108" fillId="0" borderId="0" xfId="53" applyNumberFormat="1" applyFont="1" applyFill="1" applyAlignment="1">
      <alignment horizontal="center"/>
      <protection/>
    </xf>
    <xf numFmtId="0" fontId="101" fillId="0" borderId="12" xfId="53" applyFont="1" applyFill="1" applyBorder="1" applyAlignment="1">
      <alignment horizontal="center" vertical="center" wrapText="1"/>
      <protection/>
    </xf>
    <xf numFmtId="0" fontId="101" fillId="0" borderId="13" xfId="53" applyFont="1" applyFill="1" applyBorder="1" applyAlignment="1">
      <alignment horizontal="center" vertical="center" wrapText="1"/>
      <protection/>
    </xf>
    <xf numFmtId="0" fontId="103" fillId="0" borderId="11" xfId="53" applyFont="1" applyFill="1" applyBorder="1" applyAlignment="1">
      <alignment horizontal="right" vertical="center" wrapText="1"/>
      <protection/>
    </xf>
    <xf numFmtId="0" fontId="101" fillId="33" borderId="17" xfId="53" applyFont="1" applyFill="1" applyBorder="1" applyAlignment="1">
      <alignment horizontal="center" vertical="center" wrapText="1"/>
      <protection/>
    </xf>
    <xf numFmtId="0" fontId="101" fillId="33" borderId="13" xfId="53" applyFont="1" applyFill="1" applyBorder="1" applyAlignment="1">
      <alignment horizontal="center" vertical="center" wrapText="1"/>
      <protection/>
    </xf>
    <xf numFmtId="0" fontId="101" fillId="33" borderId="11" xfId="53" applyFont="1" applyFill="1" applyBorder="1" applyAlignment="1">
      <alignment horizontal="center" vertical="center" wrapText="1"/>
      <protection/>
    </xf>
    <xf numFmtId="0" fontId="101" fillId="33" borderId="12" xfId="53" applyFont="1" applyFill="1" applyBorder="1" applyAlignment="1">
      <alignment horizontal="center" vertical="center" wrapText="1"/>
      <protection/>
    </xf>
    <xf numFmtId="0" fontId="103" fillId="33" borderId="11" xfId="53" applyFont="1" applyFill="1" applyBorder="1" applyAlignment="1">
      <alignment horizontal="right" vertical="center" wrapText="1"/>
      <protection/>
    </xf>
    <xf numFmtId="4" fontId="37" fillId="0" borderId="11" xfId="65" applyNumberFormat="1" applyFont="1" applyFill="1" applyBorder="1" applyAlignment="1">
      <alignment horizontal="center" vertical="center" wrapText="1"/>
    </xf>
    <xf numFmtId="2" fontId="84" fillId="33" borderId="14" xfId="63" applyNumberFormat="1" applyFont="1" applyFill="1" applyBorder="1" applyAlignment="1">
      <alignment/>
    </xf>
    <xf numFmtId="179" fontId="25" fillId="0" borderId="0" xfId="54" applyNumberFormat="1">
      <alignment/>
      <protection/>
    </xf>
    <xf numFmtId="4" fontId="1" fillId="33" borderId="0" xfId="0" applyNumberFormat="1" applyFont="1" applyFill="1" applyBorder="1" applyAlignment="1">
      <alignment horizontal="left" vertical="center"/>
    </xf>
    <xf numFmtId="4" fontId="1" fillId="33" borderId="0" xfId="0" applyNumberFormat="1" applyFont="1" applyFill="1" applyBorder="1" applyAlignment="1">
      <alignment horizontal="center" vertical="center"/>
    </xf>
    <xf numFmtId="4" fontId="40" fillId="33" borderId="0" xfId="0" applyNumberFormat="1" applyFont="1" applyFill="1" applyBorder="1" applyAlignment="1">
      <alignment horizontal="center"/>
    </xf>
    <xf numFmtId="4" fontId="26" fillId="33" borderId="0" xfId="0" applyNumberFormat="1" applyFont="1" applyFill="1" applyBorder="1" applyAlignment="1">
      <alignment horizontal="center"/>
    </xf>
    <xf numFmtId="0" fontId="1" fillId="33" borderId="0" xfId="0" applyNumberFormat="1" applyFont="1" applyFill="1" applyBorder="1" applyAlignment="1">
      <alignment horizontal="center" vertical="center" wrapText="1"/>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1" fillId="33" borderId="0" xfId="0" applyNumberFormat="1" applyFont="1" applyFill="1" applyBorder="1" applyAlignment="1">
      <alignment horizontal="center" vertical="center"/>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right" vertical="center" wrapText="1"/>
    </xf>
    <xf numFmtId="0" fontId="7"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9" fontId="1" fillId="33" borderId="0" xfId="0" applyNumberFormat="1" applyFont="1" applyFill="1" applyBorder="1" applyAlignment="1">
      <alignment horizontal="center"/>
    </xf>
    <xf numFmtId="0" fontId="103" fillId="33" borderId="0" xfId="53" applyFont="1" applyFill="1" applyAlignment="1">
      <alignment horizontal="center" vertical="center"/>
      <protection/>
    </xf>
    <xf numFmtId="0" fontId="101" fillId="33" borderId="0" xfId="53" applyFont="1" applyFill="1" applyAlignment="1">
      <alignment horizontal="left" vertical="center"/>
      <protection/>
    </xf>
    <xf numFmtId="0" fontId="103" fillId="33" borderId="0" xfId="53" applyFont="1" applyFill="1" applyAlignment="1">
      <alignment horizontal="left" vertical="center"/>
      <protection/>
    </xf>
    <xf numFmtId="0" fontId="115" fillId="33" borderId="0" xfId="53" applyFont="1" applyFill="1" applyAlignment="1">
      <alignment horizontal="left" vertical="center"/>
      <protection/>
    </xf>
    <xf numFmtId="0" fontId="101" fillId="33" borderId="17" xfId="53" applyFont="1" applyFill="1" applyBorder="1" applyAlignment="1">
      <alignment horizontal="center" vertical="center" wrapText="1"/>
      <protection/>
    </xf>
    <xf numFmtId="0" fontId="101" fillId="33" borderId="26" xfId="53" applyFont="1" applyFill="1" applyBorder="1" applyAlignment="1">
      <alignment horizontal="center" vertical="center" wrapText="1"/>
      <protection/>
    </xf>
    <xf numFmtId="0" fontId="101" fillId="33" borderId="13" xfId="53" applyFont="1" applyFill="1" applyBorder="1" applyAlignment="1">
      <alignment horizontal="center" vertical="center" wrapText="1"/>
      <protection/>
    </xf>
    <xf numFmtId="0" fontId="101" fillId="33" borderId="0" xfId="53" applyFont="1" applyFill="1" applyBorder="1" applyAlignment="1">
      <alignment horizontal="center" vertical="center" wrapText="1"/>
      <protection/>
    </xf>
    <xf numFmtId="0" fontId="101" fillId="33" borderId="15" xfId="53" applyFont="1" applyFill="1" applyBorder="1" applyAlignment="1">
      <alignment horizontal="center" vertical="center" wrapText="1"/>
      <protection/>
    </xf>
    <xf numFmtId="0" fontId="84" fillId="33" borderId="0" xfId="53" applyFill="1" applyAlignment="1">
      <alignment horizontal="left"/>
      <protection/>
    </xf>
    <xf numFmtId="0" fontId="103" fillId="33" borderId="0" xfId="53" applyFont="1" applyFill="1" applyBorder="1" applyAlignment="1">
      <alignment horizontal="center" vertical="center" wrapText="1"/>
      <protection/>
    </xf>
    <xf numFmtId="0" fontId="101" fillId="33" borderId="12" xfId="53" applyFont="1" applyFill="1" applyBorder="1" applyAlignment="1">
      <alignment horizontal="center" vertical="center" wrapText="1"/>
      <protection/>
    </xf>
    <xf numFmtId="4" fontId="101" fillId="33" borderId="12" xfId="53" applyNumberFormat="1" applyFont="1" applyFill="1" applyBorder="1" applyAlignment="1">
      <alignment horizontal="center" vertical="center" wrapText="1"/>
      <protection/>
    </xf>
    <xf numFmtId="0" fontId="103" fillId="33" borderId="11" xfId="53" applyFont="1" applyFill="1" applyBorder="1" applyAlignment="1">
      <alignment horizontal="right" vertical="center" wrapText="1"/>
      <protection/>
    </xf>
    <xf numFmtId="0" fontId="101" fillId="33" borderId="0" xfId="53" applyFont="1" applyFill="1" applyAlignment="1">
      <alignment horizontal="center" vertical="center"/>
      <protection/>
    </xf>
    <xf numFmtId="0" fontId="101" fillId="33" borderId="11" xfId="53" applyFont="1" applyFill="1" applyBorder="1" applyAlignment="1">
      <alignment horizontal="center" vertical="center" wrapText="1"/>
      <protection/>
    </xf>
    <xf numFmtId="4" fontId="103" fillId="33" borderId="0" xfId="53" applyNumberFormat="1" applyFont="1" applyFill="1" applyBorder="1" applyAlignment="1">
      <alignment horizontal="center" vertical="center" wrapText="1"/>
      <protection/>
    </xf>
    <xf numFmtId="43" fontId="116" fillId="33" borderId="0" xfId="53" applyNumberFormat="1" applyFont="1" applyFill="1">
      <alignment/>
      <protection/>
    </xf>
    <xf numFmtId="0" fontId="116" fillId="33" borderId="0" xfId="53" applyFont="1" applyFill="1">
      <alignment/>
      <protection/>
    </xf>
    <xf numFmtId="4" fontId="116" fillId="33" borderId="0" xfId="53" applyNumberFormat="1" applyFont="1" applyFill="1">
      <alignment/>
      <protection/>
    </xf>
    <xf numFmtId="168" fontId="116" fillId="33" borderId="0" xfId="53" applyNumberFormat="1" applyFont="1" applyFill="1">
      <alignment/>
      <protection/>
    </xf>
    <xf numFmtId="4" fontId="29" fillId="33" borderId="11" xfId="53" applyNumberFormat="1" applyFont="1" applyFill="1" applyBorder="1" applyAlignment="1">
      <alignment horizontal="center" vertical="center" wrapText="1"/>
      <protection/>
    </xf>
    <xf numFmtId="0" fontId="36" fillId="33" borderId="0" xfId="0" applyFont="1" applyFill="1" applyAlignment="1">
      <alignment/>
    </xf>
    <xf numFmtId="169" fontId="116" fillId="33" borderId="0" xfId="53" applyNumberFormat="1" applyFont="1" applyFill="1">
      <alignment/>
      <protection/>
    </xf>
    <xf numFmtId="170" fontId="116" fillId="33" borderId="0" xfId="65" applyNumberFormat="1" applyFont="1" applyFill="1" applyAlignment="1">
      <alignment/>
    </xf>
    <xf numFmtId="43" fontId="37" fillId="33" borderId="11" xfId="65" applyNumberFormat="1" applyFont="1" applyFill="1" applyBorder="1" applyAlignment="1">
      <alignment horizontal="center" vertical="center" wrapText="1"/>
    </xf>
    <xf numFmtId="43" fontId="103" fillId="33" borderId="0" xfId="65" applyNumberFormat="1" applyFont="1" applyFill="1" applyBorder="1" applyAlignment="1">
      <alignment horizontal="center" vertical="center" wrapText="1"/>
    </xf>
    <xf numFmtId="178" fontId="103" fillId="33" borderId="11" xfId="65" applyNumberFormat="1" applyFont="1" applyFill="1" applyBorder="1" applyAlignment="1">
      <alignment horizontal="center" vertical="center" wrapText="1"/>
    </xf>
    <xf numFmtId="1" fontId="101" fillId="33" borderId="10" xfId="53" applyNumberFormat="1" applyFont="1" applyFill="1" applyBorder="1" applyAlignment="1">
      <alignment horizontal="center" vertical="center" wrapText="1"/>
      <protection/>
    </xf>
    <xf numFmtId="4" fontId="101" fillId="33" borderId="13" xfId="65" applyNumberFormat="1" applyFont="1" applyFill="1" applyBorder="1" applyAlignment="1">
      <alignment horizontal="center" vertical="center" wrapText="1"/>
    </xf>
    <xf numFmtId="0" fontId="101" fillId="33" borderId="20" xfId="53" applyFont="1" applyFill="1" applyBorder="1" applyAlignment="1">
      <alignment horizontal="center" vertical="center" wrapText="1"/>
      <protection/>
    </xf>
    <xf numFmtId="0" fontId="103" fillId="33" borderId="20" xfId="53" applyFont="1" applyFill="1" applyBorder="1" applyAlignment="1">
      <alignment horizontal="right" vertical="center" wrapText="1"/>
      <protection/>
    </xf>
    <xf numFmtId="178" fontId="103" fillId="33" borderId="0" xfId="65" applyNumberFormat="1" applyFont="1" applyFill="1" applyBorder="1" applyAlignment="1">
      <alignment horizontal="center" vertical="center" wrapText="1"/>
    </xf>
    <xf numFmtId="0" fontId="101" fillId="33" borderId="12" xfId="53" applyFont="1" applyFill="1" applyBorder="1" applyAlignment="1">
      <alignment horizontal="center" wrapText="1"/>
      <protection/>
    </xf>
    <xf numFmtId="0" fontId="101" fillId="33" borderId="11" xfId="53" applyFont="1" applyFill="1" applyBorder="1" applyAlignment="1">
      <alignment horizontal="center" wrapText="1"/>
      <protection/>
    </xf>
    <xf numFmtId="167" fontId="107" fillId="33" borderId="0" xfId="63" applyFont="1" applyFill="1" applyAlignment="1">
      <alignment horizontal="center"/>
    </xf>
    <xf numFmtId="0" fontId="103" fillId="33" borderId="0" xfId="53" applyFont="1" applyFill="1" applyBorder="1" applyAlignment="1">
      <alignment vertical="center" wrapText="1"/>
      <protection/>
    </xf>
    <xf numFmtId="2" fontId="108" fillId="33" borderId="0" xfId="53" applyNumberFormat="1" applyFont="1" applyFill="1" applyAlignment="1">
      <alignment horizontal="center"/>
      <protection/>
    </xf>
    <xf numFmtId="43" fontId="121" fillId="33" borderId="0" xfId="53" applyNumberFormat="1" applyFont="1" applyFill="1">
      <alignment/>
      <protection/>
    </xf>
    <xf numFmtId="1" fontId="101" fillId="33" borderId="11" xfId="65" applyNumberFormat="1" applyFont="1" applyFill="1" applyBorder="1" applyAlignment="1">
      <alignment horizontal="center" vertical="center" wrapText="1"/>
    </xf>
    <xf numFmtId="4" fontId="101" fillId="33" borderId="10" xfId="53" applyNumberFormat="1" applyFont="1" applyFill="1" applyBorder="1" applyAlignment="1">
      <alignment horizontal="center" vertical="center"/>
      <protection/>
    </xf>
    <xf numFmtId="0" fontId="122" fillId="33" borderId="0" xfId="53" applyFont="1" applyFill="1">
      <alignment/>
      <protection/>
    </xf>
    <xf numFmtId="4" fontId="103" fillId="33" borderId="13" xfId="53" applyNumberFormat="1" applyFont="1" applyFill="1" applyBorder="1" applyAlignment="1">
      <alignment horizontal="center" vertical="center" wrapText="1"/>
      <protection/>
    </xf>
    <xf numFmtId="4" fontId="123" fillId="33" borderId="14" xfId="0" applyNumberFormat="1" applyFont="1" applyFill="1" applyBorder="1" applyAlignment="1">
      <alignment horizontal="center"/>
    </xf>
    <xf numFmtId="168" fontId="123" fillId="33" borderId="14" xfId="0" applyNumberFormat="1" applyFont="1" applyFill="1" applyBorder="1" applyAlignment="1">
      <alignment horizontal="center"/>
    </xf>
    <xf numFmtId="0" fontId="124" fillId="33" borderId="0" xfId="53" applyFont="1" applyFill="1">
      <alignment/>
      <protection/>
    </xf>
    <xf numFmtId="2" fontId="124" fillId="33" borderId="0" xfId="53" applyNumberFormat="1" applyFont="1" applyFill="1">
      <alignment/>
      <protection/>
    </xf>
    <xf numFmtId="168" fontId="123" fillId="33" borderId="21" xfId="0" applyNumberFormat="1" applyFont="1" applyFill="1" applyBorder="1" applyAlignment="1">
      <alignment horizontal="center"/>
    </xf>
    <xf numFmtId="168" fontId="123" fillId="33" borderId="0" xfId="0" applyNumberFormat="1" applyFont="1" applyFill="1" applyBorder="1" applyAlignment="1">
      <alignment horizontal="center"/>
    </xf>
    <xf numFmtId="43" fontId="85" fillId="33" borderId="0" xfId="53" applyNumberFormat="1" applyFont="1" applyFill="1">
      <alignment/>
      <protection/>
    </xf>
    <xf numFmtId="0" fontId="101" fillId="33" borderId="13" xfId="53" applyFont="1" applyFill="1" applyBorder="1" applyAlignment="1">
      <alignment horizontal="left" vertical="center" wrapText="1"/>
      <protection/>
    </xf>
    <xf numFmtId="43" fontId="101" fillId="33" borderId="11" xfId="53" applyNumberFormat="1" applyFont="1" applyFill="1" applyBorder="1" applyAlignment="1">
      <alignment horizontal="center" vertical="center" wrapText="1"/>
      <protection/>
    </xf>
    <xf numFmtId="0" fontId="84" fillId="33" borderId="0" xfId="53" applyFont="1" applyFill="1">
      <alignment/>
      <protection/>
    </xf>
    <xf numFmtId="4" fontId="101" fillId="33" borderId="11" xfId="65" applyNumberFormat="1" applyFont="1" applyFill="1" applyBorder="1" applyAlignment="1">
      <alignment horizontal="right" vertical="center" wrapText="1"/>
    </xf>
    <xf numFmtId="178" fontId="84" fillId="33" borderId="0" xfId="53" applyNumberFormat="1" applyFill="1">
      <alignment/>
      <protection/>
    </xf>
    <xf numFmtId="167" fontId="63" fillId="33" borderId="0" xfId="63" applyFont="1" applyFill="1" applyAlignment="1">
      <alignment/>
    </xf>
    <xf numFmtId="4" fontId="63" fillId="33" borderId="0" xfId="53" applyNumberFormat="1" applyFont="1" applyFill="1">
      <alignment/>
      <protection/>
    </xf>
    <xf numFmtId="43" fontId="63" fillId="33" borderId="14" xfId="65" applyNumberFormat="1" applyFont="1" applyFill="1" applyBorder="1" applyAlignment="1">
      <alignment/>
    </xf>
    <xf numFmtId="0" fontId="63" fillId="33" borderId="14" xfId="53" applyFont="1" applyFill="1" applyBorder="1">
      <alignment/>
      <protection/>
    </xf>
    <xf numFmtId="43" fontId="63" fillId="33" borderId="14" xfId="53" applyNumberFormat="1" applyFont="1" applyFill="1" applyBorder="1">
      <alignment/>
      <protection/>
    </xf>
    <xf numFmtId="43" fontId="63" fillId="33" borderId="0" xfId="53" applyNumberFormat="1" applyFont="1" applyFill="1">
      <alignment/>
      <protection/>
    </xf>
    <xf numFmtId="4" fontId="63" fillId="33" borderId="14" xfId="65" applyNumberFormat="1" applyFont="1" applyFill="1" applyBorder="1" applyAlignment="1">
      <alignment horizontal="center" vertical="center"/>
    </xf>
    <xf numFmtId="4" fontId="63" fillId="33" borderId="14" xfId="63" applyNumberFormat="1" applyFont="1" applyFill="1" applyBorder="1" applyAlignment="1">
      <alignment horizontal="center" vertical="center"/>
    </xf>
    <xf numFmtId="2" fontId="63" fillId="33" borderId="14" xfId="63" applyNumberFormat="1" applyFont="1" applyFill="1" applyBorder="1" applyAlignment="1">
      <alignment/>
    </xf>
    <xf numFmtId="2" fontId="63" fillId="33" borderId="14" xfId="65" applyNumberFormat="1" applyFont="1" applyFill="1" applyBorder="1" applyAlignment="1">
      <alignment horizontal="left"/>
    </xf>
    <xf numFmtId="167" fontId="63" fillId="33" borderId="0" xfId="53" applyNumberFormat="1" applyFont="1" applyFill="1">
      <alignment/>
      <protection/>
    </xf>
    <xf numFmtId="167" fontId="63" fillId="33" borderId="14" xfId="63" applyFont="1" applyFill="1" applyBorder="1" applyAlignment="1">
      <alignment/>
    </xf>
    <xf numFmtId="43" fontId="63" fillId="33" borderId="14" xfId="65" applyFont="1" applyFill="1" applyBorder="1" applyAlignment="1">
      <alignment/>
    </xf>
    <xf numFmtId="4" fontId="63" fillId="33" borderId="14" xfId="53" applyNumberFormat="1" applyFont="1" applyFill="1" applyBorder="1">
      <alignment/>
      <protection/>
    </xf>
    <xf numFmtId="0" fontId="78" fillId="33" borderId="0" xfId="53" applyFont="1" applyFill="1">
      <alignment/>
      <protection/>
    </xf>
    <xf numFmtId="0" fontId="27" fillId="33" borderId="0" xfId="0" applyNumberFormat="1" applyFont="1" applyFill="1" applyBorder="1" applyAlignment="1">
      <alignment horizontal="left"/>
    </xf>
    <xf numFmtId="0" fontId="28" fillId="33" borderId="0" xfId="0" applyNumberFormat="1" applyFont="1" applyFill="1" applyBorder="1" applyAlignment="1">
      <alignment horizontal="left"/>
    </xf>
    <xf numFmtId="167" fontId="27" fillId="33" borderId="0" xfId="63" applyFont="1" applyFill="1" applyBorder="1" applyAlignment="1">
      <alignment horizontal="left"/>
    </xf>
    <xf numFmtId="43" fontId="27" fillId="33" borderId="0" xfId="0" applyNumberFormat="1" applyFont="1" applyFill="1" applyBorder="1" applyAlignment="1">
      <alignment horizontal="left"/>
    </xf>
    <xf numFmtId="0" fontId="79" fillId="33" borderId="0" xfId="53" applyFont="1" applyFill="1">
      <alignment/>
      <protection/>
    </xf>
    <xf numFmtId="0" fontId="35" fillId="33" borderId="0" xfId="53" applyFont="1" applyFill="1">
      <alignment/>
      <protection/>
    </xf>
    <xf numFmtId="0" fontId="80" fillId="33" borderId="0" xfId="53" applyFont="1" applyFill="1">
      <alignment/>
      <protection/>
    </xf>
    <xf numFmtId="167" fontId="79" fillId="33" borderId="0" xfId="63" applyFont="1" applyFill="1" applyAlignment="1">
      <alignment/>
    </xf>
    <xf numFmtId="43" fontId="79" fillId="33" borderId="0" xfId="53" applyNumberFormat="1" applyFont="1" applyFill="1">
      <alignment/>
      <protection/>
    </xf>
    <xf numFmtId="43" fontId="81" fillId="33" borderId="0" xfId="53" applyNumberFormat="1" applyFont="1" applyFill="1">
      <alignment/>
      <protection/>
    </xf>
    <xf numFmtId="0" fontId="79" fillId="33" borderId="0" xfId="53" applyFont="1" applyFill="1" applyAlignment="1">
      <alignment horizontal="center"/>
      <protection/>
    </xf>
    <xf numFmtId="0" fontId="81" fillId="33" borderId="0" xfId="53" applyFont="1" applyFill="1" applyAlignment="1">
      <alignment horizontal="center"/>
      <protection/>
    </xf>
    <xf numFmtId="2" fontId="101" fillId="33" borderId="12" xfId="65" applyNumberFormat="1" applyFont="1" applyFill="1" applyBorder="1" applyAlignment="1">
      <alignment horizontal="center" vertical="center" wrapText="1"/>
    </xf>
    <xf numFmtId="2" fontId="101" fillId="33" borderId="11" xfId="65" applyNumberFormat="1" applyFont="1" applyFill="1" applyBorder="1" applyAlignment="1">
      <alignment horizontal="center" vertical="center" wrapText="1"/>
    </xf>
    <xf numFmtId="0" fontId="92" fillId="33" borderId="0" xfId="53" applyFont="1" applyFill="1">
      <alignment/>
      <protection/>
    </xf>
    <xf numFmtId="0" fontId="11" fillId="33" borderId="0" xfId="0" applyNumberFormat="1" applyFont="1" applyFill="1" applyBorder="1" applyAlignment="1">
      <alignment horizontal="left" wrapText="1"/>
    </xf>
    <xf numFmtId="43" fontId="1" fillId="33" borderId="14"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7" xfId="0" applyNumberFormat="1" applyFont="1" applyFill="1" applyBorder="1" applyAlignment="1">
      <alignment horizontal="left" vertical="center" wrapText="1" indent="3"/>
    </xf>
    <xf numFmtId="0" fontId="1" fillId="33" borderId="28" xfId="0" applyNumberFormat="1" applyFont="1" applyFill="1" applyBorder="1" applyAlignment="1">
      <alignment horizontal="left" vertical="center" wrapText="1" indent="3"/>
    </xf>
    <xf numFmtId="0" fontId="1" fillId="33" borderId="29" xfId="0" applyNumberFormat="1" applyFont="1" applyFill="1" applyBorder="1" applyAlignment="1">
      <alignment horizontal="left" vertical="center" wrapText="1" indent="3"/>
    </xf>
    <xf numFmtId="0" fontId="1" fillId="33" borderId="30" xfId="0" applyNumberFormat="1" applyFont="1" applyFill="1" applyBorder="1" applyAlignment="1">
      <alignment horizontal="left" vertical="center" wrapText="1" indent="3"/>
    </xf>
    <xf numFmtId="0" fontId="1" fillId="33" borderId="31" xfId="0" applyNumberFormat="1" applyFont="1" applyFill="1" applyBorder="1" applyAlignment="1">
      <alignment horizontal="left" vertical="center" wrapText="1" indent="3"/>
    </xf>
    <xf numFmtId="0" fontId="1" fillId="33" borderId="32" xfId="0" applyNumberFormat="1" applyFont="1" applyFill="1" applyBorder="1" applyAlignment="1">
      <alignment horizontal="left" vertical="center" wrapText="1" indent="3"/>
    </xf>
    <xf numFmtId="49" fontId="1" fillId="33" borderId="33" xfId="0" applyNumberFormat="1" applyFont="1" applyFill="1" applyBorder="1" applyAlignment="1">
      <alignment horizontal="center" vertical="center"/>
    </xf>
    <xf numFmtId="49" fontId="1" fillId="33" borderId="28" xfId="0" applyNumberFormat="1" applyFont="1" applyFill="1" applyBorder="1" applyAlignment="1">
      <alignment horizontal="center" vertical="center"/>
    </xf>
    <xf numFmtId="49" fontId="1" fillId="33" borderId="34" xfId="0" applyNumberFormat="1" applyFont="1" applyFill="1" applyBorder="1" applyAlignment="1">
      <alignment horizontal="center" vertical="center"/>
    </xf>
    <xf numFmtId="49" fontId="1" fillId="33" borderId="35"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14" xfId="0" applyNumberFormat="1" applyFont="1" applyFill="1" applyBorder="1" applyAlignment="1">
      <alignment horizontal="center"/>
    </xf>
    <xf numFmtId="167" fontId="1" fillId="33" borderId="14" xfId="63" applyFont="1" applyFill="1" applyBorder="1" applyAlignment="1">
      <alignment horizontal="center"/>
    </xf>
    <xf numFmtId="0" fontId="19" fillId="33" borderId="27" xfId="0" applyNumberFormat="1" applyFont="1" applyFill="1" applyBorder="1" applyAlignment="1">
      <alignment horizontal="left" vertical="center" wrapText="1"/>
    </xf>
    <xf numFmtId="0" fontId="19" fillId="33" borderId="28" xfId="0" applyNumberFormat="1" applyFont="1" applyFill="1" applyBorder="1" applyAlignment="1">
      <alignment horizontal="left" vertical="center" wrapText="1"/>
    </xf>
    <xf numFmtId="0" fontId="19" fillId="33" borderId="29" xfId="0" applyNumberFormat="1" applyFont="1" applyFill="1" applyBorder="1" applyAlignment="1">
      <alignment horizontal="left" vertical="center" wrapText="1"/>
    </xf>
    <xf numFmtId="0" fontId="19" fillId="33" borderId="30" xfId="0" applyNumberFormat="1" applyFont="1" applyFill="1" applyBorder="1" applyAlignment="1">
      <alignment horizontal="left" vertical="center" wrapText="1"/>
    </xf>
    <xf numFmtId="0" fontId="19" fillId="33" borderId="31" xfId="0" applyNumberFormat="1" applyFont="1" applyFill="1" applyBorder="1" applyAlignment="1">
      <alignment horizontal="left" vertical="center" wrapText="1"/>
    </xf>
    <xf numFmtId="0" fontId="19" fillId="33" borderId="32" xfId="0" applyNumberFormat="1" applyFont="1" applyFill="1" applyBorder="1" applyAlignment="1">
      <alignment horizontal="left" vertical="center" wrapText="1"/>
    </xf>
    <xf numFmtId="49" fontId="19" fillId="33" borderId="27" xfId="0" applyNumberFormat="1" applyFont="1" applyFill="1" applyBorder="1" applyAlignment="1">
      <alignment horizontal="center" vertical="center"/>
    </xf>
    <xf numFmtId="49" fontId="19" fillId="33" borderId="28" xfId="0" applyNumberFormat="1" applyFont="1" applyFill="1" applyBorder="1" applyAlignment="1">
      <alignment horizontal="center" vertical="center"/>
    </xf>
    <xf numFmtId="49" fontId="19" fillId="33" borderId="34" xfId="0" applyNumberFormat="1" applyFont="1" applyFill="1" applyBorder="1" applyAlignment="1">
      <alignment horizontal="center" vertical="center"/>
    </xf>
    <xf numFmtId="49" fontId="19" fillId="33" borderId="30" xfId="0" applyNumberFormat="1" applyFont="1" applyFill="1" applyBorder="1" applyAlignment="1">
      <alignment horizontal="center" vertical="center"/>
    </xf>
    <xf numFmtId="49" fontId="19" fillId="33" borderId="31" xfId="0" applyNumberFormat="1" applyFont="1" applyFill="1" applyBorder="1" applyAlignment="1">
      <alignment horizontal="center" vertical="center"/>
    </xf>
    <xf numFmtId="49" fontId="19" fillId="33" borderId="36" xfId="0" applyNumberFormat="1" applyFont="1" applyFill="1" applyBorder="1" applyAlignment="1">
      <alignment horizontal="center" vertical="center"/>
    </xf>
    <xf numFmtId="49" fontId="19" fillId="33" borderId="37" xfId="0" applyNumberFormat="1" applyFont="1" applyFill="1" applyBorder="1" applyAlignment="1">
      <alignment horizontal="center"/>
    </xf>
    <xf numFmtId="49" fontId="19" fillId="33" borderId="14" xfId="0" applyNumberFormat="1" applyFont="1" applyFill="1" applyBorder="1" applyAlignment="1">
      <alignment horizontal="center"/>
    </xf>
    <xf numFmtId="43" fontId="19" fillId="33" borderId="14" xfId="0" applyNumberFormat="1" applyFont="1" applyFill="1" applyBorder="1" applyAlignment="1">
      <alignment/>
    </xf>
    <xf numFmtId="43" fontId="1" fillId="33" borderId="22" xfId="0" applyNumberFormat="1" applyFont="1" applyFill="1" applyBorder="1" applyAlignment="1">
      <alignment horizontal="center" vertical="center"/>
    </xf>
    <xf numFmtId="43" fontId="1" fillId="33" borderId="23" xfId="0" applyNumberFormat="1" applyFont="1" applyFill="1" applyBorder="1" applyAlignment="1">
      <alignment horizontal="center" vertical="center"/>
    </xf>
    <xf numFmtId="43" fontId="1" fillId="33" borderId="25" xfId="0" applyNumberFormat="1" applyFont="1" applyFill="1" applyBorder="1" applyAlignment="1">
      <alignment horizontal="center" vertic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43" fontId="19" fillId="33" borderId="18" xfId="0" applyNumberFormat="1" applyFont="1" applyFill="1" applyBorder="1" applyAlignment="1">
      <alignment/>
    </xf>
    <xf numFmtId="43" fontId="19" fillId="33" borderId="0" xfId="0" applyNumberFormat="1" applyFont="1" applyFill="1" applyBorder="1" applyAlignment="1">
      <alignment/>
    </xf>
    <xf numFmtId="43" fontId="19" fillId="33" borderId="38" xfId="0" applyNumberFormat="1" applyFont="1" applyFill="1" applyBorder="1" applyAlignment="1">
      <alignment/>
    </xf>
    <xf numFmtId="0" fontId="19" fillId="33" borderId="18" xfId="0" applyNumberFormat="1" applyFont="1" applyFill="1" applyBorder="1" applyAlignment="1">
      <alignment horizontal="center"/>
    </xf>
    <xf numFmtId="0" fontId="19" fillId="33" borderId="0" xfId="0" applyNumberFormat="1" applyFont="1" applyFill="1" applyBorder="1" applyAlignment="1">
      <alignment horizontal="center"/>
    </xf>
    <xf numFmtId="0" fontId="19" fillId="33" borderId="15"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3" borderId="37" xfId="0" applyNumberFormat="1" applyFont="1" applyFill="1" applyBorder="1" applyAlignment="1">
      <alignment horizontal="center"/>
    </xf>
    <xf numFmtId="0" fontId="1" fillId="33" borderId="31" xfId="0" applyNumberFormat="1" applyFont="1" applyFill="1" applyBorder="1" applyAlignment="1">
      <alignment horizontal="left" vertical="center" indent="3"/>
    </xf>
    <xf numFmtId="49" fontId="1" fillId="33" borderId="39"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4" fontId="1" fillId="33" borderId="22" xfId="63" applyNumberFormat="1" applyFont="1" applyFill="1" applyBorder="1" applyAlignment="1">
      <alignment horizontal="center" vertical="center"/>
    </xf>
    <xf numFmtId="4" fontId="1" fillId="33" borderId="23" xfId="63" applyNumberFormat="1" applyFont="1" applyFill="1" applyBorder="1" applyAlignment="1">
      <alignment horizontal="center" vertical="center"/>
    </xf>
    <xf numFmtId="4" fontId="1" fillId="33" borderId="25" xfId="63" applyNumberFormat="1" applyFont="1" applyFill="1" applyBorder="1" applyAlignment="1">
      <alignment horizontal="center" vertical="center"/>
    </xf>
    <xf numFmtId="0" fontId="19" fillId="33" borderId="22" xfId="0" applyNumberFormat="1" applyFont="1" applyFill="1" applyBorder="1" applyAlignment="1">
      <alignment horizontal="left" wrapText="1" indent="3"/>
    </xf>
    <xf numFmtId="0" fontId="19" fillId="33" borderId="23" xfId="0" applyNumberFormat="1" applyFont="1" applyFill="1" applyBorder="1" applyAlignment="1">
      <alignment horizontal="left" indent="3"/>
    </xf>
    <xf numFmtId="0" fontId="19" fillId="33" borderId="14" xfId="0" applyNumberFormat="1" applyFont="1" applyFill="1" applyBorder="1" applyAlignment="1">
      <alignment horizontal="center"/>
    </xf>
    <xf numFmtId="0" fontId="19" fillId="33" borderId="21" xfId="0" applyNumberFormat="1" applyFont="1" applyFill="1" applyBorder="1" applyAlignment="1">
      <alignment horizontal="center"/>
    </xf>
    <xf numFmtId="0" fontId="11" fillId="33" borderId="0" xfId="0" applyNumberFormat="1" applyFont="1" applyFill="1" applyBorder="1" applyAlignment="1">
      <alignment horizontal="justify" wrapText="1"/>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33" borderId="22" xfId="0" applyNumberFormat="1" applyFont="1" applyFill="1" applyBorder="1" applyAlignment="1">
      <alignment horizontal="left" wrapText="1" indent="2"/>
    </xf>
    <xf numFmtId="0" fontId="1" fillId="33" borderId="23" xfId="0" applyNumberFormat="1" applyFont="1" applyFill="1" applyBorder="1" applyAlignment="1">
      <alignment horizontal="left" indent="2"/>
    </xf>
    <xf numFmtId="49" fontId="1" fillId="33" borderId="44"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0" xfId="0" applyNumberFormat="1" applyFont="1" applyFill="1" applyBorder="1" applyAlignment="1">
      <alignment horizontal="center"/>
    </xf>
    <xf numFmtId="0" fontId="1" fillId="33" borderId="25" xfId="0" applyNumberFormat="1" applyFont="1" applyFill="1" applyBorder="1" applyAlignment="1">
      <alignment horizontal="center"/>
    </xf>
    <xf numFmtId="0" fontId="7" fillId="33" borderId="22" xfId="0" applyNumberFormat="1" applyFont="1" applyFill="1" applyBorder="1" applyAlignment="1">
      <alignment horizontal="left"/>
    </xf>
    <xf numFmtId="0" fontId="7" fillId="33" borderId="23" xfId="0" applyNumberFormat="1" applyFont="1" applyFill="1" applyBorder="1" applyAlignment="1">
      <alignment horizontal="left"/>
    </xf>
    <xf numFmtId="49" fontId="7" fillId="33" borderId="39"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167" fontId="1" fillId="33" borderId="22" xfId="63" applyFont="1" applyFill="1" applyBorder="1" applyAlignment="1">
      <alignment horizontal="center"/>
    </xf>
    <xf numFmtId="167" fontId="1" fillId="33" borderId="23" xfId="63" applyFont="1" applyFill="1" applyBorder="1" applyAlignment="1">
      <alignment horizontal="center"/>
    </xf>
    <xf numFmtId="167" fontId="1" fillId="33" borderId="25" xfId="63" applyFont="1" applyFill="1" applyBorder="1" applyAlignment="1">
      <alignment horizontal="center"/>
    </xf>
    <xf numFmtId="167" fontId="1" fillId="33" borderId="22" xfId="63" applyNumberFormat="1" applyFont="1" applyFill="1" applyBorder="1" applyAlignment="1">
      <alignment horizontal="center"/>
    </xf>
    <xf numFmtId="167" fontId="1" fillId="33" borderId="23" xfId="63" applyNumberFormat="1" applyFont="1" applyFill="1" applyBorder="1" applyAlignment="1">
      <alignment horizontal="center"/>
    </xf>
    <xf numFmtId="167" fontId="1" fillId="33" borderId="25" xfId="63" applyNumberFormat="1" applyFont="1" applyFill="1" applyBorder="1" applyAlignment="1">
      <alignment horizontal="center"/>
    </xf>
    <xf numFmtId="0" fontId="1" fillId="33" borderId="22" xfId="0" applyNumberFormat="1" applyFont="1" applyFill="1" applyBorder="1" applyAlignment="1">
      <alignment horizontal="left" wrapText="1" indent="4"/>
    </xf>
    <xf numFmtId="0" fontId="1" fillId="33" borderId="23" xfId="0" applyNumberFormat="1" applyFont="1" applyFill="1" applyBorder="1" applyAlignment="1">
      <alignment horizontal="left" indent="4"/>
    </xf>
    <xf numFmtId="0" fontId="1" fillId="33" borderId="22" xfId="0" applyNumberFormat="1" applyFont="1" applyFill="1" applyBorder="1" applyAlignment="1">
      <alignment horizontal="left" wrapText="1" indent="3"/>
    </xf>
    <xf numFmtId="0" fontId="1" fillId="33" borderId="23" xfId="0" applyNumberFormat="1" applyFont="1" applyFill="1" applyBorder="1" applyAlignment="1">
      <alignment horizontal="left" indent="3"/>
    </xf>
    <xf numFmtId="49" fontId="19" fillId="33" borderId="18" xfId="0" applyNumberFormat="1" applyFont="1" applyFill="1" applyBorder="1" applyAlignment="1">
      <alignment horizontal="center"/>
    </xf>
    <xf numFmtId="49" fontId="19" fillId="33" borderId="0" xfId="0" applyNumberFormat="1" applyFont="1" applyFill="1" applyBorder="1" applyAlignment="1">
      <alignment horizontal="center"/>
    </xf>
    <xf numFmtId="49" fontId="19" fillId="33" borderId="38" xfId="0" applyNumberFormat="1"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0" xfId="0" applyNumberFormat="1" applyFont="1" applyFill="1" applyBorder="1" applyAlignment="1">
      <alignment horizontal="left" indent="3"/>
    </xf>
    <xf numFmtId="49" fontId="19" fillId="33" borderId="45"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27" xfId="0" applyNumberFormat="1" applyFont="1" applyFill="1" applyBorder="1" applyAlignment="1">
      <alignment horizontal="center"/>
    </xf>
    <xf numFmtId="43" fontId="1" fillId="33" borderId="22" xfId="0" applyNumberFormat="1" applyFont="1" applyFill="1" applyBorder="1" applyAlignment="1">
      <alignment horizontal="center"/>
    </xf>
    <xf numFmtId="0" fontId="1" fillId="33" borderId="22" xfId="0" applyNumberFormat="1" applyFont="1" applyFill="1" applyBorder="1" applyAlignment="1">
      <alignment horizontal="left" wrapText="1" indent="1"/>
    </xf>
    <xf numFmtId="0" fontId="1" fillId="33" borderId="23" xfId="0" applyNumberFormat="1" applyFont="1" applyFill="1" applyBorder="1" applyAlignment="1">
      <alignment horizontal="left" indent="1"/>
    </xf>
    <xf numFmtId="0" fontId="1" fillId="33" borderId="22" xfId="0" applyNumberFormat="1" applyFont="1" applyFill="1" applyBorder="1" applyAlignment="1">
      <alignment horizontal="left" vertical="center" wrapText="1" indent="3"/>
    </xf>
    <xf numFmtId="0" fontId="1" fillId="33" borderId="23" xfId="0" applyNumberFormat="1" applyFont="1" applyFill="1" applyBorder="1" applyAlignment="1">
      <alignment horizontal="left" vertical="center" indent="3"/>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5" xfId="0" applyNumberFormat="1" applyFont="1" applyFill="1" applyBorder="1" applyAlignment="1">
      <alignment horizontal="center"/>
    </xf>
    <xf numFmtId="43" fontId="1" fillId="33" borderId="23" xfId="0" applyNumberFormat="1" applyFont="1" applyFill="1" applyBorder="1" applyAlignment="1">
      <alignment horizontal="center"/>
    </xf>
    <xf numFmtId="43" fontId="1" fillId="33" borderId="25" xfId="0" applyNumberFormat="1" applyFont="1" applyFill="1" applyBorder="1" applyAlignment="1">
      <alignment horizontal="center"/>
    </xf>
    <xf numFmtId="4" fontId="1" fillId="33" borderId="22" xfId="63" applyNumberFormat="1" applyFont="1" applyFill="1" applyBorder="1" applyAlignment="1">
      <alignment horizontal="center"/>
    </xf>
    <xf numFmtId="4" fontId="1" fillId="33" borderId="23" xfId="63" applyNumberFormat="1" applyFont="1" applyFill="1" applyBorder="1" applyAlignment="1">
      <alignment horizontal="center"/>
    </xf>
    <xf numFmtId="4" fontId="1" fillId="33" borderId="25" xfId="63" applyNumberFormat="1" applyFont="1" applyFill="1" applyBorder="1" applyAlignment="1">
      <alignment horizontal="center"/>
    </xf>
    <xf numFmtId="43" fontId="1" fillId="33" borderId="22" xfId="63" applyNumberFormat="1" applyFont="1" applyFill="1" applyBorder="1" applyAlignment="1">
      <alignment horizontal="center"/>
    </xf>
    <xf numFmtId="43" fontId="1" fillId="33" borderId="23" xfId="63" applyNumberFormat="1" applyFont="1" applyFill="1" applyBorder="1" applyAlignment="1">
      <alignment horizontal="center"/>
    </xf>
    <xf numFmtId="43" fontId="1" fillId="33" borderId="25" xfId="63" applyNumberFormat="1" applyFont="1" applyFill="1" applyBorder="1" applyAlignment="1">
      <alignment horizontal="center"/>
    </xf>
    <xf numFmtId="0" fontId="1" fillId="33" borderId="30" xfId="0" applyNumberFormat="1" applyFont="1" applyFill="1" applyBorder="1" applyAlignment="1">
      <alignment horizontal="left" wrapText="1" indent="3"/>
    </xf>
    <xf numFmtId="0" fontId="1" fillId="33" borderId="31" xfId="0" applyNumberFormat="1" applyFont="1" applyFill="1" applyBorder="1" applyAlignment="1">
      <alignment horizontal="left" indent="3"/>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4" fontId="1" fillId="33" borderId="42" xfId="0" applyNumberFormat="1" applyFont="1" applyFill="1" applyBorder="1" applyAlignment="1">
      <alignment horizontal="center"/>
    </xf>
    <xf numFmtId="43" fontId="1" fillId="33" borderId="40" xfId="0" applyNumberFormat="1" applyFont="1" applyFill="1" applyBorder="1" applyAlignment="1">
      <alignment horizontal="center"/>
    </xf>
    <xf numFmtId="43" fontId="1" fillId="33" borderId="41" xfId="0" applyNumberFormat="1" applyFont="1" applyFill="1" applyBorder="1" applyAlignment="1">
      <alignment horizontal="center"/>
    </xf>
    <xf numFmtId="43" fontId="1" fillId="33" borderId="42" xfId="0" applyNumberFormat="1" applyFont="1" applyFill="1" applyBorder="1" applyAlignment="1">
      <alignment horizontal="center"/>
    </xf>
    <xf numFmtId="0" fontId="1" fillId="33" borderId="30" xfId="0" applyNumberFormat="1" applyFont="1" applyFill="1" applyBorder="1" applyAlignment="1">
      <alignment horizontal="left" wrapText="1" indent="4"/>
    </xf>
    <xf numFmtId="0" fontId="1" fillId="33" borderId="31" xfId="0" applyNumberFormat="1" applyFont="1" applyFill="1" applyBorder="1" applyAlignment="1">
      <alignment horizontal="left" indent="4"/>
    </xf>
    <xf numFmtId="0" fontId="1" fillId="33" borderId="27" xfId="0" applyNumberFormat="1" applyFont="1" applyFill="1" applyBorder="1" applyAlignment="1">
      <alignment horizontal="left" vertical="center" wrapText="1"/>
    </xf>
    <xf numFmtId="0" fontId="1" fillId="33" borderId="28" xfId="0" applyNumberFormat="1" applyFont="1" applyFill="1" applyBorder="1" applyAlignment="1">
      <alignment horizontal="left" vertical="center" wrapText="1"/>
    </xf>
    <xf numFmtId="0" fontId="1" fillId="33" borderId="29" xfId="0" applyNumberFormat="1" applyFont="1" applyFill="1" applyBorder="1" applyAlignment="1">
      <alignment horizontal="left" vertical="center" wrapText="1"/>
    </xf>
    <xf numFmtId="0" fontId="1" fillId="33" borderId="30" xfId="0" applyNumberFormat="1" applyFont="1" applyFill="1" applyBorder="1" applyAlignment="1">
      <alignment horizontal="left" vertical="center" wrapText="1"/>
    </xf>
    <xf numFmtId="0" fontId="1" fillId="33" borderId="31" xfId="0" applyNumberFormat="1" applyFont="1" applyFill="1" applyBorder="1" applyAlignment="1">
      <alignment horizontal="left" vertical="center" wrapText="1"/>
    </xf>
    <xf numFmtId="0" fontId="1" fillId="33" borderId="32" xfId="0" applyNumberFormat="1" applyFont="1" applyFill="1" applyBorder="1" applyAlignment="1">
      <alignment horizontal="left" vertical="center" wrapText="1"/>
    </xf>
    <xf numFmtId="0" fontId="7" fillId="33" borderId="22" xfId="0" applyNumberFormat="1" applyFont="1" applyFill="1" applyBorder="1" applyAlignment="1">
      <alignment horizontal="left" vertical="center"/>
    </xf>
    <xf numFmtId="0" fontId="7" fillId="33" borderId="23" xfId="0" applyNumberFormat="1" applyFont="1" applyFill="1" applyBorder="1" applyAlignment="1">
      <alignment horizontal="left" vertical="center"/>
    </xf>
    <xf numFmtId="49" fontId="7" fillId="33" borderId="39" xfId="0" applyNumberFormat="1" applyFont="1" applyFill="1" applyBorder="1" applyAlignment="1">
      <alignment horizontal="center" vertical="center"/>
    </xf>
    <xf numFmtId="49" fontId="7" fillId="33" borderId="23"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49" fontId="7" fillId="33" borderId="22" xfId="0" applyNumberFormat="1" applyFont="1" applyFill="1" applyBorder="1" applyAlignment="1">
      <alignment horizontal="center" vertical="center"/>
    </xf>
    <xf numFmtId="43" fontId="7" fillId="33" borderId="22" xfId="0" applyNumberFormat="1" applyFont="1" applyFill="1" applyBorder="1" applyAlignment="1">
      <alignment horizontal="center" vertical="center"/>
    </xf>
    <xf numFmtId="0" fontId="7" fillId="33" borderId="23" xfId="0" applyNumberFormat="1" applyFont="1" applyFill="1" applyBorder="1" applyAlignment="1">
      <alignment horizontal="center" vertical="center"/>
    </xf>
    <xf numFmtId="0" fontId="7" fillId="33" borderId="25" xfId="0" applyNumberFormat="1" applyFont="1" applyFill="1" applyBorder="1" applyAlignment="1">
      <alignment horizontal="center" vertical="center"/>
    </xf>
    <xf numFmtId="0" fontId="7" fillId="33" borderId="22" xfId="0" applyNumberFormat="1" applyFont="1" applyFill="1" applyBorder="1" applyAlignment="1">
      <alignment horizontal="center" vertical="center"/>
    </xf>
    <xf numFmtId="0" fontId="7" fillId="33" borderId="24" xfId="0" applyNumberFormat="1" applyFont="1" applyFill="1" applyBorder="1" applyAlignment="1">
      <alignment horizontal="center" vertical="center"/>
    </xf>
    <xf numFmtId="0" fontId="1" fillId="33" borderId="30" xfId="0" applyNumberFormat="1" applyFont="1" applyFill="1" applyBorder="1" applyAlignment="1">
      <alignment horizontal="left" wrapText="1" indent="1"/>
    </xf>
    <xf numFmtId="0" fontId="1" fillId="33" borderId="31" xfId="0" applyNumberFormat="1" applyFont="1" applyFill="1" applyBorder="1" applyAlignment="1">
      <alignment horizontal="left" indent="1"/>
    </xf>
    <xf numFmtId="0" fontId="1" fillId="33" borderId="3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27" xfId="0" applyNumberFormat="1" applyFont="1" applyFill="1" applyBorder="1" applyAlignment="1">
      <alignment horizontal="left" indent="3"/>
    </xf>
    <xf numFmtId="0" fontId="1" fillId="33" borderId="28" xfId="0" applyNumberFormat="1" applyFont="1" applyFill="1" applyBorder="1" applyAlignment="1">
      <alignment horizontal="left" indent="3"/>
    </xf>
    <xf numFmtId="49" fontId="1" fillId="33" borderId="35"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0" xfId="0" applyNumberFormat="1" applyFont="1" applyFill="1" applyBorder="1" applyAlignment="1">
      <alignment horizontal="center"/>
    </xf>
    <xf numFmtId="0" fontId="1" fillId="33" borderId="30" xfId="0" applyNumberFormat="1" applyFont="1" applyFill="1" applyBorder="1" applyAlignment="1">
      <alignment horizontal="left" indent="3"/>
    </xf>
    <xf numFmtId="4" fontId="1" fillId="33" borderId="27" xfId="63" applyNumberFormat="1" applyFont="1" applyFill="1" applyBorder="1" applyAlignment="1">
      <alignment horizontal="center"/>
    </xf>
    <xf numFmtId="4" fontId="1" fillId="33" borderId="28" xfId="63" applyNumberFormat="1" applyFont="1" applyFill="1" applyBorder="1" applyAlignment="1">
      <alignment horizontal="center"/>
    </xf>
    <xf numFmtId="4" fontId="1" fillId="33" borderId="34" xfId="63" applyNumberFormat="1" applyFont="1" applyFill="1" applyBorder="1" applyAlignment="1">
      <alignment horizontal="center"/>
    </xf>
    <xf numFmtId="4" fontId="1" fillId="33" borderId="30" xfId="63" applyNumberFormat="1" applyFont="1" applyFill="1" applyBorder="1" applyAlignment="1">
      <alignment horizontal="center"/>
    </xf>
    <xf numFmtId="4" fontId="1" fillId="33" borderId="31" xfId="63" applyNumberFormat="1" applyFont="1" applyFill="1" applyBorder="1" applyAlignment="1">
      <alignment horizontal="center"/>
    </xf>
    <xf numFmtId="4" fontId="1" fillId="33" borderId="36" xfId="63" applyNumberFormat="1" applyFont="1" applyFill="1" applyBorder="1" applyAlignment="1">
      <alignment horizontal="center"/>
    </xf>
    <xf numFmtId="0" fontId="1" fillId="33" borderId="23" xfId="0" applyNumberFormat="1" applyFont="1" applyFill="1" applyBorder="1" applyAlignment="1">
      <alignment horizontal="left" wrapText="1" indent="1"/>
    </xf>
    <xf numFmtId="0" fontId="1" fillId="33" borderId="24" xfId="0" applyNumberFormat="1" applyFont="1" applyFill="1" applyBorder="1" applyAlignment="1">
      <alignment horizontal="left" wrapText="1" indent="1"/>
    </xf>
    <xf numFmtId="4" fontId="1" fillId="33" borderId="27" xfId="0" applyNumberFormat="1" applyFont="1" applyFill="1" applyBorder="1" applyAlignment="1">
      <alignment horizontal="center" vertical="center"/>
    </xf>
    <xf numFmtId="4" fontId="1" fillId="33" borderId="28" xfId="0" applyNumberFormat="1" applyFont="1" applyFill="1" applyBorder="1" applyAlignment="1">
      <alignment horizontal="center" vertical="center"/>
    </xf>
    <xf numFmtId="4" fontId="1" fillId="33" borderId="34" xfId="0" applyNumberFormat="1" applyFont="1" applyFill="1" applyBorder="1" applyAlignment="1">
      <alignment horizontal="center" vertical="center"/>
    </xf>
    <xf numFmtId="4" fontId="1" fillId="33" borderId="30" xfId="0" applyNumberFormat="1" applyFont="1" applyFill="1" applyBorder="1" applyAlignment="1">
      <alignment horizontal="center" vertical="center"/>
    </xf>
    <xf numFmtId="4" fontId="1" fillId="33" borderId="31" xfId="0" applyNumberFormat="1" applyFont="1" applyFill="1" applyBorder="1" applyAlignment="1">
      <alignment horizontal="center" vertical="center"/>
    </xf>
    <xf numFmtId="4" fontId="1" fillId="33" borderId="36" xfId="0" applyNumberFormat="1" applyFont="1" applyFill="1" applyBorder="1" applyAlignment="1">
      <alignment horizontal="center" vertical="center"/>
    </xf>
    <xf numFmtId="4" fontId="1" fillId="33" borderId="22" xfId="0" applyNumberFormat="1" applyFont="1" applyFill="1" applyBorder="1" applyAlignment="1">
      <alignment horizontal="center" vertical="center"/>
    </xf>
    <xf numFmtId="4" fontId="1" fillId="33" borderId="23" xfId="0" applyNumberFormat="1" applyFont="1" applyFill="1" applyBorder="1" applyAlignment="1">
      <alignment horizontal="center" vertical="center"/>
    </xf>
    <xf numFmtId="4" fontId="1" fillId="33" borderId="25" xfId="0" applyNumberFormat="1" applyFont="1" applyFill="1" applyBorder="1" applyAlignment="1">
      <alignment horizontal="center" vertical="center"/>
    </xf>
    <xf numFmtId="0" fontId="1" fillId="33" borderId="27" xfId="0" applyNumberFormat="1" applyFont="1" applyFill="1" applyBorder="1" applyAlignment="1">
      <alignment horizontal="left" indent="2"/>
    </xf>
    <xf numFmtId="0" fontId="1" fillId="33" borderId="28" xfId="0" applyNumberFormat="1" applyFont="1" applyFill="1" applyBorder="1" applyAlignment="1">
      <alignment horizontal="left" indent="2"/>
    </xf>
    <xf numFmtId="0" fontId="1" fillId="33" borderId="30" xfId="0" applyNumberFormat="1" applyFont="1" applyFill="1" applyBorder="1" applyAlignment="1">
      <alignment horizontal="left" indent="2"/>
    </xf>
    <xf numFmtId="0" fontId="1" fillId="33" borderId="31" xfId="0" applyNumberFormat="1" applyFont="1" applyFill="1" applyBorder="1" applyAlignment="1">
      <alignment horizontal="left" indent="2"/>
    </xf>
    <xf numFmtId="167" fontId="1" fillId="33" borderId="22" xfId="63" applyFont="1" applyFill="1" applyBorder="1" applyAlignment="1">
      <alignment/>
    </xf>
    <xf numFmtId="167" fontId="1" fillId="33" borderId="23" xfId="63" applyFont="1" applyFill="1" applyBorder="1" applyAlignment="1">
      <alignment/>
    </xf>
    <xf numFmtId="167" fontId="1" fillId="33" borderId="25" xfId="63" applyFont="1" applyFill="1" applyBorder="1" applyAlignment="1">
      <alignment/>
    </xf>
    <xf numFmtId="0" fontId="1" fillId="33" borderId="46"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11" xfId="0" applyNumberFormat="1" applyFont="1" applyFill="1" applyBorder="1" applyAlignment="1">
      <alignment horizontal="center"/>
    </xf>
    <xf numFmtId="167" fontId="1" fillId="33" borderId="47" xfId="0" applyNumberFormat="1" applyFont="1" applyFill="1" applyBorder="1" applyAlignment="1">
      <alignment horizontal="center"/>
    </xf>
    <xf numFmtId="0" fontId="1" fillId="33" borderId="48" xfId="0" applyNumberFormat="1" applyFont="1" applyFill="1" applyBorder="1" applyAlignment="1">
      <alignment horizontal="center"/>
    </xf>
    <xf numFmtId="0" fontId="1" fillId="33" borderId="49"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50" xfId="0" applyNumberFormat="1" applyFont="1" applyFill="1" applyBorder="1" applyAlignment="1">
      <alignment horizontal="center"/>
    </xf>
    <xf numFmtId="49" fontId="1" fillId="33" borderId="51" xfId="0" applyNumberFormat="1" applyFont="1" applyFill="1" applyBorder="1" applyAlignment="1">
      <alignment horizontal="center"/>
    </xf>
    <xf numFmtId="49"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7" xfId="0" applyNumberFormat="1" applyFont="1" applyFill="1" applyBorder="1" applyAlignment="1">
      <alignment horizontal="center"/>
    </xf>
    <xf numFmtId="0" fontId="1" fillId="33" borderId="18" xfId="0" applyNumberFormat="1" applyFont="1" applyFill="1" applyBorder="1" applyAlignment="1">
      <alignment horizontal="left" vertical="center" wrapText="1" indent="3"/>
    </xf>
    <xf numFmtId="0" fontId="1" fillId="33" borderId="0" xfId="0" applyNumberFormat="1" applyFont="1" applyFill="1" applyBorder="1" applyAlignment="1">
      <alignment horizontal="left" vertical="center" wrapText="1" indent="3"/>
    </xf>
    <xf numFmtId="0" fontId="1" fillId="33" borderId="15" xfId="0" applyNumberFormat="1" applyFont="1" applyFill="1" applyBorder="1" applyAlignment="1">
      <alignment horizontal="left" vertical="center" wrapText="1" indent="3"/>
    </xf>
    <xf numFmtId="4" fontId="1" fillId="33" borderId="46" xfId="63" applyNumberFormat="1" applyFont="1" applyFill="1" applyBorder="1" applyAlignment="1">
      <alignment horizontal="center"/>
    </xf>
    <xf numFmtId="4" fontId="1" fillId="33" borderId="20" xfId="63" applyNumberFormat="1" applyFont="1" applyFill="1" applyBorder="1" applyAlignment="1">
      <alignment horizontal="center"/>
    </xf>
    <xf numFmtId="4" fontId="1" fillId="33" borderId="52" xfId="63" applyNumberFormat="1" applyFont="1" applyFill="1" applyBorder="1" applyAlignment="1">
      <alignment horizontal="center"/>
    </xf>
    <xf numFmtId="43" fontId="1" fillId="33" borderId="27" xfId="0" applyNumberFormat="1" applyFont="1" applyFill="1" applyBorder="1" applyAlignment="1">
      <alignment horizontal="center"/>
    </xf>
    <xf numFmtId="43" fontId="1" fillId="33" borderId="28" xfId="0" applyNumberFormat="1" applyFont="1" applyFill="1" applyBorder="1" applyAlignment="1">
      <alignment horizontal="center"/>
    </xf>
    <xf numFmtId="43" fontId="1" fillId="33" borderId="34" xfId="0" applyNumberFormat="1" applyFont="1" applyFill="1" applyBorder="1" applyAlignment="1">
      <alignment horizontal="center"/>
    </xf>
    <xf numFmtId="43" fontId="1" fillId="33" borderId="46" xfId="0" applyNumberFormat="1" applyFont="1" applyFill="1" applyBorder="1" applyAlignment="1">
      <alignment horizontal="center"/>
    </xf>
    <xf numFmtId="43" fontId="1" fillId="33" borderId="20" xfId="0" applyNumberFormat="1" applyFont="1" applyFill="1" applyBorder="1" applyAlignment="1">
      <alignment horizontal="center"/>
    </xf>
    <xf numFmtId="43" fontId="1" fillId="33" borderId="52"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52" xfId="0" applyNumberFormat="1" applyFont="1" applyFill="1" applyBorder="1" applyAlignment="1">
      <alignment horizontal="center"/>
    </xf>
    <xf numFmtId="49" fontId="1" fillId="33" borderId="46" xfId="0" applyNumberFormat="1" applyFont="1" applyFill="1" applyBorder="1" applyAlignment="1">
      <alignment horizontal="center"/>
    </xf>
    <xf numFmtId="43" fontId="7" fillId="33" borderId="22"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3" borderId="25" xfId="0" applyNumberFormat="1" applyFont="1" applyFill="1" applyBorder="1" applyAlignment="1">
      <alignment horizontal="center"/>
    </xf>
    <xf numFmtId="0" fontId="7" fillId="33" borderId="22" xfId="0" applyNumberFormat="1" applyFont="1" applyFill="1" applyBorder="1" applyAlignment="1">
      <alignment horizontal="center"/>
    </xf>
    <xf numFmtId="0" fontId="7" fillId="33" borderId="24" xfId="0" applyNumberFormat="1" applyFont="1" applyFill="1" applyBorder="1" applyAlignment="1">
      <alignment horizontal="center"/>
    </xf>
    <xf numFmtId="4" fontId="7" fillId="33" borderId="22" xfId="0" applyNumberFormat="1" applyFont="1" applyFill="1" applyBorder="1" applyAlignment="1">
      <alignment horizontal="center" wrapText="1"/>
    </xf>
    <xf numFmtId="4" fontId="7" fillId="33" borderId="23" xfId="0" applyNumberFormat="1" applyFont="1" applyFill="1" applyBorder="1" applyAlignment="1">
      <alignment horizontal="center" wrapText="1"/>
    </xf>
    <xf numFmtId="4" fontId="7" fillId="33" borderId="25" xfId="0" applyNumberFormat="1" applyFont="1" applyFill="1" applyBorder="1" applyAlignment="1">
      <alignment horizontal="center" wrapText="1"/>
    </xf>
    <xf numFmtId="0" fontId="1" fillId="33" borderId="0" xfId="0" applyNumberFormat="1" applyFont="1" applyFill="1" applyBorder="1" applyAlignment="1">
      <alignment horizontal="left"/>
    </xf>
    <xf numFmtId="0" fontId="1" fillId="33" borderId="31" xfId="0" applyNumberFormat="1" applyFont="1" applyFill="1" applyBorder="1" applyAlignment="1">
      <alignment horizontal="left"/>
    </xf>
    <xf numFmtId="49" fontId="1" fillId="33" borderId="24" xfId="0" applyNumberFormat="1" applyFont="1" applyFill="1" applyBorder="1" applyAlignment="1">
      <alignment horizontal="center"/>
    </xf>
    <xf numFmtId="49" fontId="1" fillId="33" borderId="43"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31" xfId="0" applyNumberFormat="1" applyFont="1" applyFill="1" applyBorder="1" applyAlignment="1">
      <alignment horizontal="center"/>
    </xf>
    <xf numFmtId="0" fontId="3" fillId="33" borderId="0" xfId="0" applyNumberFormat="1" applyFont="1" applyFill="1" applyBorder="1" applyAlignment="1">
      <alignment horizontal="left"/>
    </xf>
    <xf numFmtId="49" fontId="3" fillId="33" borderId="31" xfId="0" applyNumberFormat="1" applyFont="1" applyFill="1" applyBorder="1" applyAlignment="1">
      <alignment horizontal="center"/>
    </xf>
    <xf numFmtId="0" fontId="3" fillId="33" borderId="0" xfId="0" applyNumberFormat="1" applyFont="1" applyFill="1" applyBorder="1" applyAlignment="1">
      <alignment horizontal="right"/>
    </xf>
    <xf numFmtId="0" fontId="4" fillId="33" borderId="28" xfId="0" applyNumberFormat="1" applyFont="1" applyFill="1" applyBorder="1" applyAlignment="1">
      <alignment horizontal="center" vertical="top"/>
    </xf>
    <xf numFmtId="0" fontId="1" fillId="33" borderId="0" xfId="0" applyNumberFormat="1" applyFont="1" applyFill="1" applyBorder="1" applyAlignment="1">
      <alignment horizontal="right"/>
    </xf>
    <xf numFmtId="49" fontId="5" fillId="33" borderId="31" xfId="0" applyNumberFormat="1" applyFont="1" applyFill="1" applyBorder="1" applyAlignment="1">
      <alignment horizontal="left"/>
    </xf>
    <xf numFmtId="49" fontId="7" fillId="33" borderId="51" xfId="0" applyNumberFormat="1" applyFont="1" applyFill="1" applyBorder="1" applyAlignment="1">
      <alignment horizontal="center"/>
    </xf>
    <xf numFmtId="49" fontId="7" fillId="33" borderId="48" xfId="0" applyNumberFormat="1" applyFont="1" applyFill="1" applyBorder="1" applyAlignment="1">
      <alignment horizontal="center"/>
    </xf>
    <xf numFmtId="49" fontId="7" fillId="33" borderId="49" xfId="0" applyNumberFormat="1" applyFont="1" applyFill="1" applyBorder="1" applyAlignment="1">
      <alignment horizontal="center"/>
    </xf>
    <xf numFmtId="49" fontId="7" fillId="33" borderId="47" xfId="0" applyNumberFormat="1" applyFont="1" applyFill="1" applyBorder="1" applyAlignment="1">
      <alignment horizontal="center"/>
    </xf>
    <xf numFmtId="0" fontId="1" fillId="33" borderId="27"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0" fontId="1" fillId="33" borderId="30"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3" fillId="33" borderId="0" xfId="0" applyNumberFormat="1" applyFont="1" applyFill="1" applyBorder="1" applyAlignment="1">
      <alignment horizontal="right" vertical="center" wrapText="1"/>
    </xf>
    <xf numFmtId="0" fontId="3" fillId="33" borderId="31" xfId="0" applyNumberFormat="1" applyFont="1" applyFill="1" applyBorder="1" applyAlignment="1">
      <alignment horizontal="center" vertical="center" wrapText="1"/>
    </xf>
    <xf numFmtId="0" fontId="1" fillId="33" borderId="27"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34"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8" xfId="0" applyNumberFormat="1" applyFont="1" applyFill="1" applyBorder="1" applyAlignment="1">
      <alignment horizontal="center" vertical="center"/>
    </xf>
    <xf numFmtId="49" fontId="1" fillId="33" borderId="40" xfId="0" applyNumberFormat="1" applyFont="1" applyFill="1" applyBorder="1" applyAlignment="1">
      <alignment horizontal="center" vertical="top"/>
    </xf>
    <xf numFmtId="49" fontId="1" fillId="33" borderId="41" xfId="0" applyNumberFormat="1" applyFont="1" applyFill="1" applyBorder="1" applyAlignment="1">
      <alignment horizontal="center" vertical="top"/>
    </xf>
    <xf numFmtId="49" fontId="1" fillId="33" borderId="42" xfId="0" applyNumberFormat="1" applyFont="1" applyFill="1" applyBorder="1" applyAlignment="1">
      <alignment horizontal="center" vertical="top"/>
    </xf>
    <xf numFmtId="49" fontId="3" fillId="33" borderId="31" xfId="0" applyNumberFormat="1" applyFont="1" applyFill="1" applyBorder="1" applyAlignment="1">
      <alignment horizontal="left"/>
    </xf>
    <xf numFmtId="0" fontId="1" fillId="33" borderId="30" xfId="0" applyNumberFormat="1" applyFont="1" applyFill="1" applyBorder="1" applyAlignment="1">
      <alignment horizontal="center" vertical="top" wrapText="1"/>
    </xf>
    <xf numFmtId="0" fontId="1" fillId="33" borderId="31" xfId="0" applyNumberFormat="1" applyFont="1" applyFill="1" applyBorder="1" applyAlignment="1">
      <alignment horizontal="center" vertical="top" wrapText="1"/>
    </xf>
    <xf numFmtId="0" fontId="1" fillId="33" borderId="36" xfId="0" applyNumberFormat="1" applyFont="1" applyFill="1" applyBorder="1" applyAlignment="1">
      <alignment horizontal="center" vertical="top" wrapText="1"/>
    </xf>
    <xf numFmtId="0" fontId="7" fillId="33" borderId="0" xfId="0" applyNumberFormat="1" applyFont="1" applyFill="1" applyBorder="1" applyAlignment="1">
      <alignment horizontal="center"/>
    </xf>
    <xf numFmtId="0" fontId="7" fillId="33" borderId="47" xfId="0" applyNumberFormat="1" applyFont="1" applyFill="1" applyBorder="1" applyAlignment="1">
      <alignment horizontal="center"/>
    </xf>
    <xf numFmtId="0" fontId="7" fillId="33" borderId="48" xfId="0" applyNumberFormat="1" applyFont="1" applyFill="1" applyBorder="1" applyAlignment="1">
      <alignment horizontal="center"/>
    </xf>
    <xf numFmtId="0" fontId="7" fillId="33" borderId="50" xfId="0" applyNumberFormat="1" applyFont="1" applyFill="1" applyBorder="1" applyAlignment="1">
      <alignment horizontal="center"/>
    </xf>
    <xf numFmtId="0" fontId="5" fillId="33" borderId="0" xfId="0" applyNumberFormat="1" applyFont="1" applyFill="1" applyBorder="1" applyAlignment="1">
      <alignment horizontal="left"/>
    </xf>
    <xf numFmtId="0" fontId="1" fillId="33" borderId="27" xfId="0" applyNumberFormat="1" applyFont="1" applyFill="1" applyBorder="1" applyAlignment="1">
      <alignment horizontal="right"/>
    </xf>
    <xf numFmtId="0" fontId="1" fillId="33" borderId="28" xfId="0" applyNumberFormat="1" applyFont="1" applyFill="1" applyBorder="1" applyAlignment="1">
      <alignment horizontal="right"/>
    </xf>
    <xf numFmtId="49" fontId="1" fillId="33" borderId="23" xfId="0" applyNumberFormat="1" applyFont="1" applyFill="1" applyBorder="1" applyAlignment="1">
      <alignment horizontal="left"/>
    </xf>
    <xf numFmtId="0" fontId="1" fillId="33" borderId="28" xfId="0" applyNumberFormat="1" applyFont="1" applyFill="1" applyBorder="1" applyAlignment="1">
      <alignment horizontal="left"/>
    </xf>
    <xf numFmtId="0" fontId="1" fillId="33" borderId="34" xfId="0" applyNumberFormat="1" applyFont="1" applyFill="1" applyBorder="1" applyAlignment="1">
      <alignment horizontal="left"/>
    </xf>
    <xf numFmtId="49" fontId="1" fillId="33" borderId="50" xfId="0" applyNumberFormat="1" applyFont="1" applyFill="1" applyBorder="1" applyAlignment="1">
      <alignment horizontal="center"/>
    </xf>
    <xf numFmtId="49" fontId="1" fillId="33" borderId="22" xfId="0" applyNumberFormat="1" applyFont="1" applyFill="1" applyBorder="1" applyAlignment="1">
      <alignment horizontal="center" vertical="top"/>
    </xf>
    <xf numFmtId="49" fontId="1" fillId="33" borderId="23" xfId="0" applyNumberFormat="1" applyFont="1" applyFill="1" applyBorder="1" applyAlignment="1">
      <alignment horizontal="center" vertical="top"/>
    </xf>
    <xf numFmtId="49" fontId="1" fillId="33" borderId="25" xfId="0" applyNumberFormat="1" applyFont="1" applyFill="1" applyBorder="1" applyAlignment="1">
      <alignment horizontal="center" vertical="top"/>
    </xf>
    <xf numFmtId="0" fontId="1" fillId="33" borderId="30"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8" xfId="0" applyNumberFormat="1" applyFont="1" applyFill="1" applyBorder="1" applyAlignment="1">
      <alignment horizontal="center" vertical="center" wrapText="1"/>
    </xf>
    <xf numFmtId="0" fontId="1" fillId="33" borderId="22"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5" fillId="33" borderId="0" xfId="0" applyNumberFormat="1" applyFont="1" applyFill="1" applyBorder="1" applyAlignment="1">
      <alignment horizontal="right"/>
    </xf>
    <xf numFmtId="0" fontId="13" fillId="33" borderId="0" xfId="0" applyNumberFormat="1" applyFont="1" applyFill="1" applyBorder="1" applyAlignment="1">
      <alignment horizontal="center" wrapText="1"/>
    </xf>
    <xf numFmtId="49" fontId="1" fillId="33" borderId="31" xfId="0" applyNumberFormat="1" applyFont="1" applyFill="1" applyBorder="1" applyAlignment="1">
      <alignment horizontal="left"/>
    </xf>
    <xf numFmtId="49" fontId="1" fillId="33" borderId="27"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34" xfId="0" applyNumberFormat="1" applyFont="1" applyFill="1" applyBorder="1" applyAlignment="1">
      <alignment horizontal="center" vertical="top"/>
    </xf>
    <xf numFmtId="4" fontId="7" fillId="33" borderId="47" xfId="63" applyNumberFormat="1" applyFont="1" applyFill="1" applyBorder="1" applyAlignment="1">
      <alignment horizontal="center"/>
    </xf>
    <xf numFmtId="4" fontId="7" fillId="33" borderId="48" xfId="63" applyNumberFormat="1" applyFont="1" applyFill="1" applyBorder="1" applyAlignment="1">
      <alignment horizontal="center"/>
    </xf>
    <xf numFmtId="4" fontId="7" fillId="33" borderId="49" xfId="63" applyNumberFormat="1" applyFont="1" applyFill="1" applyBorder="1" applyAlignment="1">
      <alignment horizontal="center"/>
    </xf>
    <xf numFmtId="167" fontId="7" fillId="33" borderId="47" xfId="63" applyFont="1" applyFill="1" applyBorder="1" applyAlignment="1">
      <alignment horizontal="center"/>
    </xf>
    <xf numFmtId="167" fontId="7" fillId="33" borderId="48" xfId="63" applyFont="1" applyFill="1" applyBorder="1" applyAlignment="1">
      <alignment horizontal="center"/>
    </xf>
    <xf numFmtId="167" fontId="7" fillId="33" borderId="49" xfId="63" applyFont="1" applyFill="1" applyBorder="1" applyAlignment="1">
      <alignment horizontal="center"/>
    </xf>
    <xf numFmtId="0" fontId="1" fillId="33" borderId="0" xfId="0" applyNumberFormat="1" applyFont="1" applyFill="1" applyBorder="1" applyAlignment="1">
      <alignment horizontal="center"/>
    </xf>
    <xf numFmtId="4" fontId="1" fillId="33" borderId="0" xfId="0" applyNumberFormat="1" applyFont="1" applyFill="1" applyBorder="1" applyAlignment="1">
      <alignment horizontal="center" vertical="center" wrapText="1"/>
    </xf>
    <xf numFmtId="0" fontId="1" fillId="33" borderId="27" xfId="0" applyNumberFormat="1" applyFont="1" applyFill="1" applyBorder="1" applyAlignment="1">
      <alignment horizontal="left" vertical="top" wrapText="1"/>
    </xf>
    <xf numFmtId="0" fontId="1" fillId="33" borderId="28" xfId="0" applyNumberFormat="1" applyFont="1" applyFill="1" applyBorder="1" applyAlignment="1">
      <alignment horizontal="left" vertical="top" wrapText="1"/>
    </xf>
    <xf numFmtId="0" fontId="1" fillId="33" borderId="29" xfId="0" applyNumberFormat="1" applyFont="1" applyFill="1" applyBorder="1" applyAlignment="1">
      <alignment horizontal="left" vertical="top" wrapText="1"/>
    </xf>
    <xf numFmtId="0" fontId="1" fillId="33" borderId="30" xfId="0" applyNumberFormat="1" applyFont="1" applyFill="1" applyBorder="1" applyAlignment="1">
      <alignment horizontal="left" vertical="top" wrapText="1"/>
    </xf>
    <xf numFmtId="0" fontId="1" fillId="33" borderId="31" xfId="0" applyNumberFormat="1" applyFont="1" applyFill="1" applyBorder="1" applyAlignment="1">
      <alignment horizontal="left" vertical="top" wrapText="1"/>
    </xf>
    <xf numFmtId="0" fontId="1" fillId="33" borderId="32" xfId="0" applyNumberFormat="1" applyFont="1" applyFill="1" applyBorder="1" applyAlignment="1">
      <alignment horizontal="left" vertical="top" wrapText="1"/>
    </xf>
    <xf numFmtId="0" fontId="1" fillId="33" borderId="22" xfId="0" applyNumberFormat="1" applyFont="1" applyFill="1" applyBorder="1" applyAlignment="1">
      <alignment horizontal="left" indent="3"/>
    </xf>
    <xf numFmtId="0" fontId="1" fillId="33" borderId="29"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49" fontId="1" fillId="33" borderId="45"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0" fontId="1" fillId="33" borderId="31" xfId="0" applyNumberFormat="1" applyFont="1" applyFill="1" applyBorder="1" applyAlignment="1">
      <alignment horizontal="center" wrapText="1"/>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1" fillId="33" borderId="0" xfId="0" applyNumberFormat="1" applyFont="1" applyFill="1" applyBorder="1" applyAlignment="1">
      <alignment horizontal="justify"/>
    </xf>
    <xf numFmtId="0" fontId="3" fillId="33" borderId="0" xfId="0" applyNumberFormat="1" applyFont="1" applyFill="1" applyBorder="1" applyAlignment="1">
      <alignment horizontal="justify"/>
    </xf>
    <xf numFmtId="0" fontId="1" fillId="33" borderId="0" xfId="0" applyNumberFormat="1" applyFont="1" applyFill="1" applyBorder="1" applyAlignment="1">
      <alignment horizontal="left" wrapText="1"/>
    </xf>
    <xf numFmtId="0" fontId="1" fillId="33" borderId="22" xfId="0" applyNumberFormat="1" applyFont="1" applyFill="1" applyBorder="1" applyAlignment="1">
      <alignment horizontal="left" wrapText="1"/>
    </xf>
    <xf numFmtId="0" fontId="1" fillId="33" borderId="23" xfId="0" applyNumberFormat="1" applyFont="1" applyFill="1" applyBorder="1" applyAlignment="1">
      <alignment horizontal="left"/>
    </xf>
    <xf numFmtId="49" fontId="1" fillId="33" borderId="18"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33" borderId="27" xfId="0" applyNumberFormat="1" applyFont="1" applyFill="1" applyBorder="1" applyAlignment="1">
      <alignment horizontal="left" wrapText="1" indent="4"/>
    </xf>
    <xf numFmtId="0" fontId="1" fillId="33" borderId="28" xfId="0" applyNumberFormat="1" applyFont="1" applyFill="1" applyBorder="1" applyAlignment="1">
      <alignment horizontal="left" indent="4"/>
    </xf>
    <xf numFmtId="0" fontId="1" fillId="33" borderId="29" xfId="0" applyNumberFormat="1" applyFont="1" applyFill="1" applyBorder="1" applyAlignment="1">
      <alignment horizontal="left" indent="4"/>
    </xf>
    <xf numFmtId="49" fontId="1" fillId="33" borderId="16" xfId="0" applyNumberFormat="1" applyFont="1" applyFill="1" applyBorder="1" applyAlignment="1">
      <alignment horizontal="center" vertical="center"/>
    </xf>
    <xf numFmtId="49" fontId="1" fillId="33" borderId="20" xfId="0" applyNumberFormat="1" applyFont="1" applyFill="1" applyBorder="1" applyAlignment="1">
      <alignment horizontal="center" vertical="center"/>
    </xf>
    <xf numFmtId="49" fontId="1" fillId="33" borderId="52" xfId="0" applyNumberFormat="1" applyFont="1" applyFill="1" applyBorder="1" applyAlignment="1">
      <alignment horizontal="center" vertical="center"/>
    </xf>
    <xf numFmtId="43" fontId="1" fillId="33" borderId="47" xfId="0" applyNumberFormat="1" applyFont="1" applyFill="1" applyBorder="1" applyAlignment="1">
      <alignment horizontal="center"/>
    </xf>
    <xf numFmtId="167" fontId="1" fillId="33" borderId="47" xfId="63" applyFont="1" applyFill="1" applyBorder="1" applyAlignment="1">
      <alignment horizontal="center"/>
    </xf>
    <xf numFmtId="167" fontId="1" fillId="33" borderId="48" xfId="63" applyFont="1" applyFill="1" applyBorder="1" applyAlignment="1">
      <alignment horizontal="center"/>
    </xf>
    <xf numFmtId="167" fontId="1" fillId="33" borderId="49" xfId="63" applyFont="1" applyFill="1" applyBorder="1" applyAlignment="1">
      <alignment horizontal="center"/>
    </xf>
    <xf numFmtId="167" fontId="1" fillId="33" borderId="50" xfId="63" applyFont="1" applyFill="1" applyBorder="1" applyAlignment="1">
      <alignment horizontal="center"/>
    </xf>
    <xf numFmtId="0" fontId="1" fillId="33" borderId="52" xfId="0" applyNumberFormat="1" applyFont="1" applyFill="1" applyBorder="1" applyAlignment="1">
      <alignment horizontal="center"/>
    </xf>
    <xf numFmtId="43" fontId="1" fillId="33" borderId="18" xfId="0" applyNumberFormat="1" applyFont="1" applyFill="1" applyBorder="1" applyAlignment="1">
      <alignment horizontal="center"/>
    </xf>
    <xf numFmtId="0" fontId="1" fillId="33" borderId="38" xfId="0" applyNumberFormat="1" applyFont="1" applyFill="1" applyBorder="1" applyAlignment="1">
      <alignment horizontal="center"/>
    </xf>
    <xf numFmtId="0" fontId="1" fillId="33" borderId="18" xfId="0" applyNumberFormat="1" applyFont="1" applyFill="1" applyBorder="1" applyAlignment="1">
      <alignment horizontal="center"/>
    </xf>
    <xf numFmtId="0" fontId="101" fillId="33" borderId="17" xfId="53" applyFont="1" applyFill="1" applyBorder="1" applyAlignment="1">
      <alignment horizontal="center" vertical="center" wrapText="1"/>
      <protection/>
    </xf>
    <xf numFmtId="0" fontId="101" fillId="33" borderId="26" xfId="53" applyFont="1" applyFill="1" applyBorder="1" applyAlignment="1">
      <alignment horizontal="center" vertical="center" wrapText="1"/>
      <protection/>
    </xf>
    <xf numFmtId="0" fontId="101" fillId="33" borderId="13" xfId="53" applyFont="1" applyFill="1" applyBorder="1" applyAlignment="1">
      <alignment horizontal="center" vertical="center" wrapText="1"/>
      <protection/>
    </xf>
    <xf numFmtId="0" fontId="101" fillId="33" borderId="53" xfId="53" applyFont="1" applyFill="1" applyBorder="1" applyAlignment="1">
      <alignment horizontal="center" vertical="center" wrapText="1"/>
      <protection/>
    </xf>
    <xf numFmtId="0" fontId="101" fillId="33" borderId="54" xfId="53" applyFont="1" applyFill="1" applyBorder="1" applyAlignment="1">
      <alignment horizontal="center" vertical="center" wrapText="1"/>
      <protection/>
    </xf>
    <xf numFmtId="0" fontId="101" fillId="33" borderId="12" xfId="53" applyFont="1" applyFill="1" applyBorder="1" applyAlignment="1">
      <alignment horizontal="center" vertical="center" wrapText="1"/>
      <protection/>
    </xf>
    <xf numFmtId="0" fontId="103" fillId="33" borderId="0" xfId="53" applyFont="1" applyFill="1" applyAlignment="1">
      <alignment horizontal="center" vertical="center"/>
      <protection/>
    </xf>
    <xf numFmtId="0" fontId="101" fillId="33" borderId="0" xfId="53" applyFont="1" applyFill="1" applyAlignment="1">
      <alignment horizontal="center" vertical="center"/>
      <protection/>
    </xf>
    <xf numFmtId="0" fontId="118" fillId="33" borderId="17" xfId="53" applyFont="1" applyFill="1" applyBorder="1" applyAlignment="1">
      <alignment horizontal="center" vertical="center" wrapText="1"/>
      <protection/>
    </xf>
    <xf numFmtId="0" fontId="118" fillId="33" borderId="26" xfId="53" applyFont="1" applyFill="1" applyBorder="1" applyAlignment="1">
      <alignment horizontal="center" vertical="center" wrapText="1"/>
      <protection/>
    </xf>
    <xf numFmtId="0" fontId="118" fillId="33" borderId="13" xfId="53" applyFont="1" applyFill="1" applyBorder="1" applyAlignment="1">
      <alignment horizontal="center" vertical="center" wrapText="1"/>
      <protection/>
    </xf>
    <xf numFmtId="0" fontId="103" fillId="33" borderId="16" xfId="53" applyFont="1" applyFill="1" applyBorder="1" applyAlignment="1">
      <alignment horizontal="right" vertical="center" wrapText="1"/>
      <protection/>
    </xf>
    <xf numFmtId="0" fontId="103" fillId="33" borderId="11" xfId="53" applyFont="1" applyFill="1" applyBorder="1" applyAlignment="1">
      <alignment horizontal="right" vertical="center" wrapText="1"/>
      <protection/>
    </xf>
    <xf numFmtId="0" fontId="103" fillId="33" borderId="0" xfId="53" applyFont="1" applyFill="1" applyAlignment="1">
      <alignment horizontal="center" vertical="center" wrapText="1"/>
      <protection/>
    </xf>
    <xf numFmtId="0" fontId="101" fillId="33" borderId="0" xfId="53" applyFont="1" applyFill="1" applyAlignment="1">
      <alignment horizontal="left" vertical="center"/>
      <protection/>
    </xf>
    <xf numFmtId="4" fontId="101" fillId="33" borderId="53" xfId="53" applyNumberFormat="1" applyFont="1" applyFill="1" applyBorder="1" applyAlignment="1">
      <alignment horizontal="center" vertical="center" wrapText="1"/>
      <protection/>
    </xf>
    <xf numFmtId="4" fontId="101" fillId="33" borderId="12" xfId="53" applyNumberFormat="1" applyFont="1" applyFill="1" applyBorder="1" applyAlignment="1">
      <alignment horizontal="center" vertical="center" wrapText="1"/>
      <protection/>
    </xf>
    <xf numFmtId="0" fontId="125" fillId="33" borderId="17" xfId="53" applyFont="1" applyFill="1" applyBorder="1" applyAlignment="1">
      <alignment horizontal="center" vertical="center"/>
      <protection/>
    </xf>
    <xf numFmtId="0" fontId="125" fillId="33" borderId="26" xfId="53" applyFont="1" applyFill="1" applyBorder="1" applyAlignment="1">
      <alignment horizontal="center" vertical="center"/>
      <protection/>
    </xf>
    <xf numFmtId="0" fontId="125" fillId="33" borderId="13" xfId="53" applyFont="1" applyFill="1" applyBorder="1" applyAlignment="1">
      <alignment horizontal="center" vertical="center"/>
      <protection/>
    </xf>
    <xf numFmtId="0" fontId="103" fillId="33" borderId="0" xfId="53" applyFont="1" applyFill="1" applyBorder="1" applyAlignment="1">
      <alignment horizontal="center" vertical="center" wrapText="1"/>
      <protection/>
    </xf>
    <xf numFmtId="0" fontId="103" fillId="33" borderId="20" xfId="53" applyFont="1" applyFill="1" applyBorder="1" applyAlignment="1">
      <alignment horizontal="center" vertical="center"/>
      <protection/>
    </xf>
    <xf numFmtId="0" fontId="84" fillId="33" borderId="0" xfId="53" applyFill="1" applyAlignment="1">
      <alignment horizontal="left"/>
      <protection/>
    </xf>
    <xf numFmtId="0" fontId="126" fillId="33" borderId="55" xfId="53" applyFont="1" applyFill="1" applyBorder="1" applyAlignment="1">
      <alignment horizontal="center"/>
      <protection/>
    </xf>
    <xf numFmtId="0" fontId="125" fillId="33" borderId="17" xfId="53" applyFont="1" applyFill="1" applyBorder="1" applyAlignment="1">
      <alignment horizontal="center" vertical="center" wrapText="1"/>
      <protection/>
    </xf>
    <xf numFmtId="0" fontId="125" fillId="33" borderId="26" xfId="53" applyFont="1" applyFill="1" applyBorder="1" applyAlignment="1">
      <alignment horizontal="center" vertical="center" wrapText="1"/>
      <protection/>
    </xf>
    <xf numFmtId="0" fontId="125" fillId="33" borderId="13" xfId="53" applyFont="1" applyFill="1" applyBorder="1" applyAlignment="1">
      <alignment horizontal="center" vertical="center" wrapText="1"/>
      <protection/>
    </xf>
    <xf numFmtId="0" fontId="118" fillId="33" borderId="17" xfId="53" applyFont="1" applyFill="1" applyBorder="1" applyAlignment="1">
      <alignment horizontal="center" wrapText="1"/>
      <protection/>
    </xf>
    <xf numFmtId="0" fontId="118" fillId="33" borderId="26" xfId="53" applyFont="1" applyFill="1" applyBorder="1" applyAlignment="1">
      <alignment horizontal="center" wrapText="1"/>
      <protection/>
    </xf>
    <xf numFmtId="0" fontId="118" fillId="33" borderId="13" xfId="53" applyFont="1" applyFill="1" applyBorder="1" applyAlignment="1">
      <alignment horizontal="center" wrapText="1"/>
      <protection/>
    </xf>
    <xf numFmtId="0" fontId="101" fillId="33" borderId="20" xfId="53" applyFont="1" applyFill="1" applyBorder="1" applyAlignment="1">
      <alignment horizontal="center" vertical="center"/>
      <protection/>
    </xf>
    <xf numFmtId="14" fontId="113" fillId="33" borderId="0" xfId="53" applyNumberFormat="1" applyFont="1" applyFill="1" applyAlignment="1">
      <alignment horizontal="left" vertical="center" wrapText="1"/>
      <protection/>
    </xf>
    <xf numFmtId="0" fontId="113" fillId="33" borderId="0" xfId="53" applyFont="1" applyFill="1" applyAlignment="1">
      <alignment horizontal="left" vertical="center" wrapText="1"/>
      <protection/>
    </xf>
    <xf numFmtId="49" fontId="113" fillId="33" borderId="0" xfId="53" applyNumberFormat="1" applyFont="1" applyFill="1" applyAlignment="1">
      <alignment horizontal="left" vertical="center"/>
      <protection/>
    </xf>
    <xf numFmtId="0" fontId="103" fillId="33" borderId="17" xfId="53" applyFont="1" applyFill="1" applyBorder="1" applyAlignment="1">
      <alignment horizontal="right" vertical="center" wrapText="1"/>
      <protection/>
    </xf>
    <xf numFmtId="0" fontId="103" fillId="33" borderId="26" xfId="53" applyFont="1" applyFill="1" applyBorder="1" applyAlignment="1">
      <alignment horizontal="right" vertical="center" wrapText="1"/>
      <protection/>
    </xf>
    <xf numFmtId="0" fontId="103" fillId="33" borderId="13" xfId="53" applyFont="1" applyFill="1" applyBorder="1" applyAlignment="1">
      <alignment horizontal="right" vertical="center" wrapText="1"/>
      <protection/>
    </xf>
    <xf numFmtId="0" fontId="101" fillId="33" borderId="56" xfId="53" applyFont="1" applyFill="1" applyBorder="1" applyAlignment="1">
      <alignment horizontal="center" vertical="center" wrapText="1"/>
      <protection/>
    </xf>
    <xf numFmtId="0" fontId="101" fillId="33" borderId="57" xfId="53" applyFont="1" applyFill="1" applyBorder="1" applyAlignment="1">
      <alignment horizontal="center" vertical="center" wrapText="1"/>
      <protection/>
    </xf>
    <xf numFmtId="0" fontId="101" fillId="33" borderId="58" xfId="53" applyFont="1" applyFill="1" applyBorder="1" applyAlignment="1">
      <alignment horizontal="center" vertical="center" wrapText="1"/>
      <protection/>
    </xf>
    <xf numFmtId="0" fontId="101" fillId="33" borderId="45" xfId="53" applyFont="1" applyFill="1" applyBorder="1" applyAlignment="1">
      <alignment horizontal="center" vertical="center" wrapText="1"/>
      <protection/>
    </xf>
    <xf numFmtId="0" fontId="101" fillId="33" borderId="0" xfId="53" applyFont="1" applyFill="1" applyBorder="1" applyAlignment="1">
      <alignment horizontal="center" vertical="center" wrapText="1"/>
      <protection/>
    </xf>
    <xf numFmtId="0" fontId="101" fillId="33" borderId="15" xfId="53" applyFont="1" applyFill="1" applyBorder="1" applyAlignment="1">
      <alignment horizontal="center" vertical="center" wrapText="1"/>
      <protection/>
    </xf>
    <xf numFmtId="14" fontId="113" fillId="33" borderId="0" xfId="53" applyNumberFormat="1" applyFont="1" applyFill="1" applyAlignment="1">
      <alignment horizontal="left" vertical="center"/>
      <protection/>
    </xf>
    <xf numFmtId="0" fontId="113" fillId="33" borderId="0" xfId="53" applyFont="1" applyFill="1" applyAlignment="1">
      <alignment horizontal="left" vertical="center"/>
      <protection/>
    </xf>
    <xf numFmtId="0" fontId="115" fillId="33" borderId="0" xfId="53" applyFont="1" applyFill="1" applyAlignment="1">
      <alignment horizontal="left" vertical="center"/>
      <protection/>
    </xf>
    <xf numFmtId="0" fontId="103" fillId="33" borderId="0" xfId="53" applyFont="1" applyFill="1" applyAlignment="1">
      <alignment horizontal="left" vertical="center"/>
      <protection/>
    </xf>
    <xf numFmtId="0" fontId="101" fillId="33" borderId="59" xfId="53" applyFont="1" applyFill="1" applyBorder="1" applyAlignment="1">
      <alignment horizontal="center" vertical="center" wrapText="1"/>
      <protection/>
    </xf>
    <xf numFmtId="0" fontId="101" fillId="33" borderId="11" xfId="53" applyFont="1" applyFill="1" applyBorder="1" applyAlignment="1">
      <alignment horizontal="center" vertical="center" wrapText="1"/>
      <protection/>
    </xf>
    <xf numFmtId="0" fontId="104" fillId="33" borderId="0" xfId="53" applyFont="1" applyFill="1" applyAlignment="1">
      <alignment horizontal="center" vertical="center"/>
      <protection/>
    </xf>
    <xf numFmtId="0" fontId="104" fillId="33" borderId="0" xfId="53" applyFont="1" applyFill="1" applyAlignment="1">
      <alignment horizontal="center"/>
      <protection/>
    </xf>
    <xf numFmtId="0" fontId="104" fillId="33" borderId="20" xfId="53" applyFont="1" applyFill="1" applyBorder="1" applyAlignment="1">
      <alignment horizontal="center"/>
      <protection/>
    </xf>
    <xf numFmtId="0" fontId="125" fillId="0" borderId="17" xfId="53" applyFont="1" applyFill="1" applyBorder="1" applyAlignment="1">
      <alignment horizontal="center" vertical="center"/>
      <protection/>
    </xf>
    <xf numFmtId="0" fontId="125" fillId="0" borderId="26" xfId="53" applyFont="1" applyFill="1" applyBorder="1" applyAlignment="1">
      <alignment horizontal="center" vertical="center"/>
      <protection/>
    </xf>
    <xf numFmtId="0" fontId="125" fillId="0" borderId="13" xfId="53" applyFont="1" applyFill="1" applyBorder="1" applyAlignment="1">
      <alignment horizontal="center" vertical="center"/>
      <protection/>
    </xf>
    <xf numFmtId="0" fontId="103" fillId="0" borderId="16" xfId="53" applyFont="1" applyFill="1" applyBorder="1" applyAlignment="1">
      <alignment horizontal="right" vertical="center" wrapText="1"/>
      <protection/>
    </xf>
    <xf numFmtId="0" fontId="103" fillId="0" borderId="11" xfId="53" applyFont="1" applyFill="1" applyBorder="1" applyAlignment="1">
      <alignment horizontal="right" vertical="center" wrapText="1"/>
      <protection/>
    </xf>
    <xf numFmtId="0" fontId="125" fillId="0" borderId="26" xfId="53" applyFont="1" applyFill="1" applyBorder="1" applyAlignment="1">
      <alignment horizontal="center" vertical="center" wrapText="1"/>
      <protection/>
    </xf>
    <xf numFmtId="0" fontId="101" fillId="0" borderId="53" xfId="53" applyFont="1" applyFill="1" applyBorder="1" applyAlignment="1">
      <alignment horizontal="center" vertical="center" wrapText="1"/>
      <protection/>
    </xf>
    <xf numFmtId="0" fontId="101" fillId="0" borderId="12" xfId="53" applyFont="1" applyFill="1" applyBorder="1" applyAlignment="1">
      <alignment horizontal="center" vertical="center" wrapText="1"/>
      <protection/>
    </xf>
    <xf numFmtId="4" fontId="101" fillId="0" borderId="53" xfId="53" applyNumberFormat="1" applyFont="1" applyFill="1" applyBorder="1" applyAlignment="1">
      <alignment horizontal="center" vertical="center" wrapText="1"/>
      <protection/>
    </xf>
    <xf numFmtId="4" fontId="101" fillId="0" borderId="12" xfId="53" applyNumberFormat="1" applyFont="1" applyFill="1" applyBorder="1" applyAlignment="1">
      <alignment horizontal="center" vertical="center" wrapText="1"/>
      <protection/>
    </xf>
    <xf numFmtId="0" fontId="103" fillId="33" borderId="55" xfId="53" applyFont="1" applyFill="1" applyBorder="1" applyAlignment="1">
      <alignment horizontal="center" vertical="center" wrapText="1"/>
      <protection/>
    </xf>
    <xf numFmtId="0" fontId="103" fillId="0" borderId="17" xfId="53" applyFont="1" applyFill="1" applyBorder="1" applyAlignment="1">
      <alignment horizontal="right" vertical="center" wrapText="1"/>
      <protection/>
    </xf>
    <xf numFmtId="0" fontId="103" fillId="0" borderId="26" xfId="53" applyFont="1" applyFill="1" applyBorder="1" applyAlignment="1">
      <alignment horizontal="right" vertical="center" wrapText="1"/>
      <protection/>
    </xf>
    <xf numFmtId="0" fontId="103" fillId="0" borderId="13" xfId="53" applyFont="1" applyFill="1" applyBorder="1" applyAlignment="1">
      <alignment horizontal="right" vertical="center" wrapText="1"/>
      <protection/>
    </xf>
    <xf numFmtId="49" fontId="113" fillId="0" borderId="0" xfId="53" applyNumberFormat="1" applyFont="1" applyFill="1" applyAlignment="1">
      <alignment horizontal="left" vertical="center"/>
      <protection/>
    </xf>
    <xf numFmtId="0" fontId="101" fillId="0" borderId="56" xfId="53" applyFont="1" applyFill="1" applyBorder="1" applyAlignment="1">
      <alignment horizontal="center" vertical="center" wrapText="1"/>
      <protection/>
    </xf>
    <xf numFmtId="0" fontId="101" fillId="0" borderId="57" xfId="53" applyFont="1" applyFill="1" applyBorder="1" applyAlignment="1">
      <alignment horizontal="center" vertical="center" wrapText="1"/>
      <protection/>
    </xf>
    <xf numFmtId="0" fontId="101" fillId="0" borderId="58" xfId="53" applyFont="1" applyFill="1" applyBorder="1" applyAlignment="1">
      <alignment horizontal="center" vertical="center" wrapText="1"/>
      <protection/>
    </xf>
    <xf numFmtId="0" fontId="101" fillId="0" borderId="17" xfId="53" applyFont="1" applyFill="1" applyBorder="1" applyAlignment="1">
      <alignment horizontal="center" vertical="center" wrapText="1"/>
      <protection/>
    </xf>
    <xf numFmtId="0" fontId="101" fillId="0" borderId="26" xfId="53" applyFont="1" applyFill="1" applyBorder="1" applyAlignment="1">
      <alignment horizontal="center" vertical="center" wrapText="1"/>
      <protection/>
    </xf>
    <xf numFmtId="0" fontId="101" fillId="0" borderId="13" xfId="53" applyFont="1" applyFill="1" applyBorder="1" applyAlignment="1">
      <alignment horizontal="center" vertical="center" wrapText="1"/>
      <protection/>
    </xf>
    <xf numFmtId="14" fontId="113" fillId="0" borderId="0" xfId="53" applyNumberFormat="1" applyFont="1" applyFill="1" applyAlignment="1">
      <alignment horizontal="left" vertical="center"/>
      <protection/>
    </xf>
    <xf numFmtId="0" fontId="113" fillId="0" borderId="0" xfId="53" applyFont="1" applyFill="1" applyAlignment="1">
      <alignment horizontal="left" vertical="center"/>
      <protection/>
    </xf>
    <xf numFmtId="0" fontId="101" fillId="0" borderId="0" xfId="53" applyFont="1" applyFill="1" applyAlignment="1">
      <alignment horizontal="left" vertical="center"/>
      <protection/>
    </xf>
    <xf numFmtId="0" fontId="115" fillId="0" borderId="0" xfId="53" applyFont="1" applyFill="1" applyAlignment="1">
      <alignment horizontal="left" vertical="center"/>
      <protection/>
    </xf>
    <xf numFmtId="0" fontId="103" fillId="0" borderId="0" xfId="53" applyFont="1" applyFill="1" applyAlignment="1">
      <alignment horizontal="left"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2_пред.201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Z168"/>
  <sheetViews>
    <sheetView view="pageBreakPreview" zoomScaleSheetLayoutView="100" zoomScalePageLayoutView="0" workbookViewId="0" topLeftCell="A1">
      <selection activeCell="DF31" sqref="DF31:DR31"/>
    </sheetView>
  </sheetViews>
  <sheetFormatPr defaultColWidth="0.875" defaultRowHeight="12.75"/>
  <cols>
    <col min="1" max="6" width="0.875" style="288" customWidth="1"/>
    <col min="7" max="7" width="2.25390625" style="288" customWidth="1"/>
    <col min="8" max="10" width="0.875" style="288" customWidth="1"/>
    <col min="11" max="11" width="2.125" style="288" customWidth="1"/>
    <col min="12" max="59" width="0.875" style="288" customWidth="1"/>
    <col min="60" max="60" width="0.2421875" style="288" customWidth="1"/>
    <col min="61" max="61" width="1.37890625" style="288" customWidth="1"/>
    <col min="62" max="108" width="0.875" style="288" customWidth="1"/>
    <col min="109" max="109" width="1.875" style="288" customWidth="1"/>
    <col min="110" max="121" width="0.875" style="288" customWidth="1"/>
    <col min="122" max="122" width="5.00390625" style="288" customWidth="1"/>
    <col min="123" max="134" width="0.875" style="288" customWidth="1"/>
    <col min="135" max="135" width="3.625" style="288" customWidth="1"/>
    <col min="136" max="147" width="0.875" style="288" customWidth="1"/>
    <col min="148" max="148" width="4.00390625" style="288" customWidth="1"/>
    <col min="149" max="161" width="0.875" style="288" customWidth="1"/>
    <col min="162" max="162" width="14.625" style="288" customWidth="1"/>
    <col min="163" max="163" width="16.00390625" style="101" customWidth="1"/>
    <col min="164" max="167" width="16.00390625" style="288" customWidth="1"/>
    <col min="168" max="170" width="0.875" style="288" customWidth="1"/>
    <col min="171" max="171" width="13.375" style="288" customWidth="1"/>
    <col min="172" max="172" width="0.875" style="288" customWidth="1"/>
    <col min="173" max="173" width="4.25390625" style="288" customWidth="1"/>
    <col min="174" max="174" width="9.75390625" style="288" customWidth="1"/>
    <col min="175" max="175" width="15.875" style="288" customWidth="1"/>
    <col min="176" max="176" width="13.625" style="288" customWidth="1"/>
    <col min="177" max="177" width="13.125" style="288" customWidth="1"/>
    <col min="178" max="178" width="12.375" style="288" customWidth="1"/>
    <col min="179" max="179" width="13.125" style="288" customWidth="1"/>
    <col min="180" max="180" width="11.375" style="288" customWidth="1"/>
    <col min="181" max="181" width="9.125" style="288" customWidth="1"/>
    <col min="182" max="182" width="11.00390625" style="288" customWidth="1"/>
    <col min="183" max="210" width="9.125" style="288" customWidth="1"/>
    <col min="211" max="16384" width="0.875" style="288" customWidth="1"/>
  </cols>
  <sheetData>
    <row r="1" spans="106:163" s="287" customFormat="1" ht="10.5">
      <c r="DB1" s="601" t="s">
        <v>276</v>
      </c>
      <c r="DC1" s="601"/>
      <c r="DD1" s="601"/>
      <c r="DE1" s="601"/>
      <c r="DF1" s="601"/>
      <c r="DG1" s="601"/>
      <c r="DH1" s="601"/>
      <c r="DI1" s="601"/>
      <c r="DJ1" s="601"/>
      <c r="DK1" s="601"/>
      <c r="DL1" s="601"/>
      <c r="DM1" s="601"/>
      <c r="DN1" s="601"/>
      <c r="DO1" s="601"/>
      <c r="DP1" s="601"/>
      <c r="DQ1" s="601"/>
      <c r="DR1" s="601"/>
      <c r="DS1" s="601"/>
      <c r="DT1" s="601"/>
      <c r="DU1" s="601"/>
      <c r="DV1" s="601"/>
      <c r="DW1" s="601"/>
      <c r="DX1" s="601"/>
      <c r="DY1" s="601"/>
      <c r="DZ1" s="601"/>
      <c r="EA1" s="601"/>
      <c r="EB1" s="601"/>
      <c r="EC1" s="601"/>
      <c r="ED1" s="601"/>
      <c r="EE1" s="601"/>
      <c r="EF1" s="601"/>
      <c r="EG1" s="601"/>
      <c r="EH1" s="601"/>
      <c r="EI1" s="601"/>
      <c r="EJ1" s="601"/>
      <c r="EK1" s="601"/>
      <c r="EL1" s="601"/>
      <c r="EM1" s="601"/>
      <c r="EN1" s="601"/>
      <c r="EO1" s="601"/>
      <c r="EP1" s="601"/>
      <c r="EQ1" s="601"/>
      <c r="ER1" s="601"/>
      <c r="ES1" s="601"/>
      <c r="ET1" s="601"/>
      <c r="EU1" s="601"/>
      <c r="EV1" s="601"/>
      <c r="EW1" s="601"/>
      <c r="EX1" s="601"/>
      <c r="EY1" s="601"/>
      <c r="EZ1" s="601"/>
      <c r="FA1" s="601"/>
      <c r="FB1" s="601"/>
      <c r="FC1" s="601"/>
      <c r="FD1" s="601"/>
      <c r="FE1" s="601"/>
      <c r="FF1" s="283"/>
      <c r="FG1" s="100"/>
    </row>
    <row r="2" spans="106:163" s="287" customFormat="1" ht="47.25" customHeight="1">
      <c r="DB2" s="615" t="s">
        <v>277</v>
      </c>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284"/>
      <c r="FG2" s="100"/>
    </row>
    <row r="3" ht="1.5" customHeight="1"/>
    <row r="4" ht="18" customHeight="1" hidden="1"/>
    <row r="5" spans="127:163" s="287" customFormat="1" ht="16.5" customHeight="1">
      <c r="DW5" s="597" t="s">
        <v>22</v>
      </c>
      <c r="DX5" s="597"/>
      <c r="DY5" s="597"/>
      <c r="DZ5" s="597"/>
      <c r="EA5" s="597"/>
      <c r="EB5" s="597"/>
      <c r="EC5" s="597"/>
      <c r="ED5" s="597"/>
      <c r="EE5" s="597"/>
      <c r="EF5" s="597"/>
      <c r="EG5" s="597"/>
      <c r="EH5" s="597"/>
      <c r="EI5" s="597"/>
      <c r="EJ5" s="597"/>
      <c r="EK5" s="597"/>
      <c r="EL5" s="597"/>
      <c r="EM5" s="597"/>
      <c r="EN5" s="597"/>
      <c r="EO5" s="597"/>
      <c r="EP5" s="597"/>
      <c r="EQ5" s="597"/>
      <c r="ER5" s="597"/>
      <c r="ES5" s="597"/>
      <c r="ET5" s="597"/>
      <c r="EU5" s="597"/>
      <c r="EV5" s="597"/>
      <c r="EW5" s="597"/>
      <c r="EX5" s="597"/>
      <c r="EY5" s="597"/>
      <c r="EZ5" s="597"/>
      <c r="FA5" s="597"/>
      <c r="FB5" s="597"/>
      <c r="FC5" s="597"/>
      <c r="FD5" s="597"/>
      <c r="FE5" s="597"/>
      <c r="FF5" s="286"/>
      <c r="FG5" s="100"/>
    </row>
    <row r="6" spans="127:163" s="287" customFormat="1" ht="45" customHeight="1">
      <c r="DW6" s="616" t="s">
        <v>543</v>
      </c>
      <c r="DX6" s="616"/>
      <c r="DY6" s="616"/>
      <c r="DZ6" s="616"/>
      <c r="EA6" s="616"/>
      <c r="EB6" s="616"/>
      <c r="EC6" s="616"/>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c r="FC6" s="616"/>
      <c r="FD6" s="616"/>
      <c r="FE6" s="616"/>
      <c r="FF6" s="102"/>
      <c r="FG6" s="100"/>
    </row>
    <row r="7" spans="127:163" s="23" customFormat="1" ht="15.75" customHeight="1">
      <c r="DW7" s="602" t="s">
        <v>418</v>
      </c>
      <c r="DX7" s="602"/>
      <c r="DY7" s="602"/>
      <c r="DZ7" s="602"/>
      <c r="EA7" s="602"/>
      <c r="EB7" s="602"/>
      <c r="EC7" s="602"/>
      <c r="ED7" s="602"/>
      <c r="EE7" s="602"/>
      <c r="EF7" s="602"/>
      <c r="EG7" s="602"/>
      <c r="EH7" s="602"/>
      <c r="EI7" s="602"/>
      <c r="EJ7" s="602"/>
      <c r="EK7" s="602"/>
      <c r="EL7" s="602"/>
      <c r="EM7" s="602"/>
      <c r="EN7" s="602"/>
      <c r="EO7" s="602"/>
      <c r="EP7" s="602"/>
      <c r="EQ7" s="602"/>
      <c r="ER7" s="602"/>
      <c r="ES7" s="602"/>
      <c r="ET7" s="602"/>
      <c r="EU7" s="602"/>
      <c r="EV7" s="602"/>
      <c r="EW7" s="602"/>
      <c r="EX7" s="602"/>
      <c r="EY7" s="602"/>
      <c r="EZ7" s="602"/>
      <c r="FA7" s="602"/>
      <c r="FB7" s="602"/>
      <c r="FC7" s="602"/>
      <c r="FD7" s="602"/>
      <c r="FE7" s="602"/>
      <c r="FF7" s="27"/>
      <c r="FG7" s="103"/>
    </row>
    <row r="8" spans="127:163" s="287" customFormat="1" ht="18.75" customHeight="1">
      <c r="DW8" s="598"/>
      <c r="DX8" s="598"/>
      <c r="DY8" s="598"/>
      <c r="DZ8" s="598"/>
      <c r="EA8" s="598"/>
      <c r="EB8" s="598"/>
      <c r="EC8" s="598"/>
      <c r="ED8" s="598"/>
      <c r="EE8" s="598"/>
      <c r="EF8" s="598"/>
      <c r="EG8" s="598"/>
      <c r="EH8" s="598"/>
      <c r="EI8" s="598"/>
      <c r="EL8" s="598" t="s">
        <v>544</v>
      </c>
      <c r="EM8" s="598"/>
      <c r="EN8" s="598"/>
      <c r="EO8" s="598"/>
      <c r="EP8" s="598"/>
      <c r="EQ8" s="598"/>
      <c r="ER8" s="598"/>
      <c r="ES8" s="598"/>
      <c r="ET8" s="598"/>
      <c r="EU8" s="598"/>
      <c r="EV8" s="598"/>
      <c r="EW8" s="598"/>
      <c r="EX8" s="598"/>
      <c r="EY8" s="598"/>
      <c r="EZ8" s="598"/>
      <c r="FA8" s="598"/>
      <c r="FB8" s="598"/>
      <c r="FC8" s="598"/>
      <c r="FD8" s="598"/>
      <c r="FE8" s="598"/>
      <c r="FF8" s="286"/>
      <c r="FG8" s="100"/>
    </row>
    <row r="9" spans="127:163" s="23" customFormat="1" ht="8.25">
      <c r="DW9" s="602" t="s">
        <v>19</v>
      </c>
      <c r="DX9" s="602"/>
      <c r="DY9" s="602"/>
      <c r="DZ9" s="602"/>
      <c r="EA9" s="602"/>
      <c r="EB9" s="602"/>
      <c r="EC9" s="602"/>
      <c r="ED9" s="602"/>
      <c r="EE9" s="602"/>
      <c r="EF9" s="602"/>
      <c r="EG9" s="602"/>
      <c r="EH9" s="602"/>
      <c r="EI9" s="602"/>
      <c r="EL9" s="602" t="s">
        <v>20</v>
      </c>
      <c r="EM9" s="602"/>
      <c r="EN9" s="602"/>
      <c r="EO9" s="602"/>
      <c r="EP9" s="602"/>
      <c r="EQ9" s="602"/>
      <c r="ER9" s="602"/>
      <c r="ES9" s="602"/>
      <c r="ET9" s="602"/>
      <c r="EU9" s="602"/>
      <c r="EV9" s="602"/>
      <c r="EW9" s="602"/>
      <c r="EX9" s="602"/>
      <c r="EY9" s="602"/>
      <c r="EZ9" s="602"/>
      <c r="FA9" s="602"/>
      <c r="FB9" s="602"/>
      <c r="FC9" s="602"/>
      <c r="FD9" s="602"/>
      <c r="FE9" s="602"/>
      <c r="FF9" s="27"/>
      <c r="FG9" s="103"/>
    </row>
    <row r="10" spans="127:163" s="287" customFormat="1" ht="18" customHeight="1">
      <c r="DW10" s="601" t="s">
        <v>21</v>
      </c>
      <c r="DX10" s="601"/>
      <c r="DY10" s="600"/>
      <c r="DZ10" s="600"/>
      <c r="EA10" s="600"/>
      <c r="EB10" s="599" t="s">
        <v>21</v>
      </c>
      <c r="EC10" s="599"/>
      <c r="EE10" s="600"/>
      <c r="EF10" s="600"/>
      <c r="EG10" s="600"/>
      <c r="EH10" s="600"/>
      <c r="EI10" s="600"/>
      <c r="EJ10" s="600"/>
      <c r="EK10" s="600"/>
      <c r="EL10" s="600"/>
      <c r="EM10" s="600"/>
      <c r="EN10" s="600"/>
      <c r="EO10" s="600"/>
      <c r="EP10" s="600"/>
      <c r="EQ10" s="600"/>
      <c r="ER10" s="600"/>
      <c r="ES10" s="600"/>
      <c r="ET10" s="601">
        <v>20</v>
      </c>
      <c r="EU10" s="601"/>
      <c r="EV10" s="601"/>
      <c r="EW10" s="626" t="s">
        <v>531</v>
      </c>
      <c r="EX10" s="626"/>
      <c r="EY10" s="626"/>
      <c r="EZ10" s="287" t="s">
        <v>5</v>
      </c>
      <c r="FG10" s="100"/>
    </row>
    <row r="11" ht="11.25"/>
    <row r="12" spans="96:163" s="282" customFormat="1" ht="12">
      <c r="CR12" s="279" t="s">
        <v>537</v>
      </c>
      <c r="CS12" s="604" t="s">
        <v>279</v>
      </c>
      <c r="CT12" s="604"/>
      <c r="CU12" s="604"/>
      <c r="CV12" s="282" t="s">
        <v>5</v>
      </c>
      <c r="FG12" s="104"/>
    </row>
    <row r="13" spans="51:163" s="282" customFormat="1" ht="13.5">
      <c r="AY13" s="653" t="s">
        <v>24</v>
      </c>
      <c r="AZ13" s="653"/>
      <c r="BA13" s="653"/>
      <c r="BB13" s="653"/>
      <c r="BC13" s="653"/>
      <c r="BD13" s="653"/>
      <c r="BE13" s="653"/>
      <c r="BF13" s="604" t="s">
        <v>279</v>
      </c>
      <c r="BG13" s="604"/>
      <c r="BH13" s="604"/>
      <c r="BI13" s="653" t="s">
        <v>25</v>
      </c>
      <c r="BJ13" s="653"/>
      <c r="BK13" s="653"/>
      <c r="BL13" s="653"/>
      <c r="BM13" s="653"/>
      <c r="BN13" s="653"/>
      <c r="BO13" s="653"/>
      <c r="BP13" s="653"/>
      <c r="BQ13" s="653"/>
      <c r="BR13" s="653"/>
      <c r="BS13" s="653"/>
      <c r="BT13" s="653"/>
      <c r="BU13" s="653"/>
      <c r="BV13" s="653"/>
      <c r="BW13" s="653"/>
      <c r="BX13" s="653"/>
      <c r="BY13" s="653"/>
      <c r="BZ13" s="653"/>
      <c r="CA13" s="653"/>
      <c r="CB13" s="653"/>
      <c r="CC13" s="653"/>
      <c r="CD13" s="653"/>
      <c r="CE13" s="604" t="s">
        <v>531</v>
      </c>
      <c r="CF13" s="604"/>
      <c r="CG13" s="604"/>
      <c r="CH13" s="653" t="s">
        <v>26</v>
      </c>
      <c r="CI13" s="653"/>
      <c r="CJ13" s="653"/>
      <c r="CK13" s="653"/>
      <c r="CL13" s="653"/>
      <c r="CM13" s="604" t="s">
        <v>558</v>
      </c>
      <c r="CN13" s="604"/>
      <c r="CO13" s="604"/>
      <c r="CP13" s="634" t="s">
        <v>27</v>
      </c>
      <c r="CQ13" s="634"/>
      <c r="CR13" s="634"/>
      <c r="CS13" s="634"/>
      <c r="CT13" s="634"/>
      <c r="CU13" s="634"/>
      <c r="CV13" s="634"/>
      <c r="CW13" s="634"/>
      <c r="CX13" s="634"/>
      <c r="ES13" s="617" t="s">
        <v>23</v>
      </c>
      <c r="ET13" s="618"/>
      <c r="EU13" s="618"/>
      <c r="EV13" s="618"/>
      <c r="EW13" s="618"/>
      <c r="EX13" s="618"/>
      <c r="EY13" s="618"/>
      <c r="EZ13" s="618"/>
      <c r="FA13" s="618"/>
      <c r="FB13" s="618"/>
      <c r="FC13" s="618"/>
      <c r="FD13" s="618"/>
      <c r="FE13" s="619"/>
      <c r="FF13" s="280"/>
      <c r="FG13" s="104"/>
    </row>
    <row r="14" spans="149:162" ht="12" thickBot="1">
      <c r="ES14" s="620"/>
      <c r="ET14" s="621"/>
      <c r="EU14" s="621"/>
      <c r="EV14" s="621"/>
      <c r="EW14" s="621"/>
      <c r="EX14" s="621"/>
      <c r="EY14" s="621"/>
      <c r="EZ14" s="621"/>
      <c r="FA14" s="621"/>
      <c r="FB14" s="621"/>
      <c r="FC14" s="621"/>
      <c r="FD14" s="621"/>
      <c r="FE14" s="622"/>
      <c r="FF14" s="280"/>
    </row>
    <row r="15" spans="59:162" ht="12.75" customHeight="1">
      <c r="BG15" s="603" t="s">
        <v>39</v>
      </c>
      <c r="BH15" s="603"/>
      <c r="BI15" s="603"/>
      <c r="BJ15" s="603"/>
      <c r="BK15" s="529" t="s">
        <v>660</v>
      </c>
      <c r="BL15" s="529"/>
      <c r="BM15" s="529"/>
      <c r="BN15" s="593" t="s">
        <v>21</v>
      </c>
      <c r="BO15" s="593"/>
      <c r="BQ15" s="529" t="s">
        <v>661</v>
      </c>
      <c r="BR15" s="529"/>
      <c r="BS15" s="529"/>
      <c r="BT15" s="529"/>
      <c r="BU15" s="529"/>
      <c r="BV15" s="529"/>
      <c r="BW15" s="529"/>
      <c r="BX15" s="529"/>
      <c r="BY15" s="529"/>
      <c r="BZ15" s="529"/>
      <c r="CA15" s="529"/>
      <c r="CB15" s="529"/>
      <c r="CC15" s="529"/>
      <c r="CD15" s="529"/>
      <c r="CE15" s="529"/>
      <c r="CF15" s="603">
        <v>20</v>
      </c>
      <c r="CG15" s="603"/>
      <c r="CH15" s="603"/>
      <c r="CI15" s="655" t="s">
        <v>531</v>
      </c>
      <c r="CJ15" s="655"/>
      <c r="CK15" s="655"/>
      <c r="CL15" s="288" t="s">
        <v>40</v>
      </c>
      <c r="EQ15" s="281" t="s">
        <v>28</v>
      </c>
      <c r="ES15" s="565" t="s">
        <v>659</v>
      </c>
      <c r="ET15" s="566"/>
      <c r="EU15" s="566"/>
      <c r="EV15" s="566"/>
      <c r="EW15" s="566"/>
      <c r="EX15" s="566"/>
      <c r="EY15" s="566"/>
      <c r="EZ15" s="566"/>
      <c r="FA15" s="566"/>
      <c r="FB15" s="566"/>
      <c r="FC15" s="566"/>
      <c r="FD15" s="566"/>
      <c r="FE15" s="640"/>
      <c r="FF15" s="289"/>
    </row>
    <row r="16" spans="1:162" ht="18" customHeight="1">
      <c r="A16" s="593" t="s">
        <v>31</v>
      </c>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EQ16" s="281" t="s">
        <v>29</v>
      </c>
      <c r="ES16" s="428"/>
      <c r="ET16" s="429"/>
      <c r="EU16" s="429"/>
      <c r="EV16" s="429"/>
      <c r="EW16" s="429"/>
      <c r="EX16" s="429"/>
      <c r="EY16" s="429"/>
      <c r="EZ16" s="429"/>
      <c r="FA16" s="429"/>
      <c r="FB16" s="429"/>
      <c r="FC16" s="429"/>
      <c r="FD16" s="429"/>
      <c r="FE16" s="595"/>
      <c r="FF16" s="289"/>
    </row>
    <row r="17" spans="1:162" ht="11.25" customHeight="1">
      <c r="A17" s="288" t="s">
        <v>32</v>
      </c>
      <c r="AB17" s="594" t="s">
        <v>278</v>
      </c>
      <c r="AC17" s="594"/>
      <c r="AD17" s="594"/>
      <c r="AE17" s="594"/>
      <c r="AF17" s="594"/>
      <c r="AG17" s="594"/>
      <c r="AH17" s="594"/>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4"/>
      <c r="BR17" s="594"/>
      <c r="BS17" s="594"/>
      <c r="BT17" s="594"/>
      <c r="BU17" s="594"/>
      <c r="BV17" s="594"/>
      <c r="BW17" s="594"/>
      <c r="BX17" s="594"/>
      <c r="BY17" s="594"/>
      <c r="BZ17" s="594"/>
      <c r="CA17" s="594"/>
      <c r="CB17" s="594"/>
      <c r="CC17" s="594"/>
      <c r="CD17" s="594"/>
      <c r="CE17" s="594"/>
      <c r="CF17" s="594"/>
      <c r="CG17" s="594"/>
      <c r="CH17" s="594"/>
      <c r="CI17" s="594"/>
      <c r="CJ17" s="594"/>
      <c r="CK17" s="594"/>
      <c r="CL17" s="594"/>
      <c r="CM17" s="594"/>
      <c r="CN17" s="594"/>
      <c r="CO17" s="594"/>
      <c r="CP17" s="594"/>
      <c r="CQ17" s="594"/>
      <c r="CR17" s="594"/>
      <c r="CS17" s="594"/>
      <c r="CT17" s="594"/>
      <c r="CU17" s="594"/>
      <c r="CV17" s="594"/>
      <c r="CW17" s="594"/>
      <c r="CX17" s="594"/>
      <c r="CY17" s="594"/>
      <c r="CZ17" s="594"/>
      <c r="DA17" s="594"/>
      <c r="DB17" s="594"/>
      <c r="DC17" s="594"/>
      <c r="DD17" s="594"/>
      <c r="DE17" s="594"/>
      <c r="DF17" s="594"/>
      <c r="DG17" s="594"/>
      <c r="DH17" s="594"/>
      <c r="DI17" s="594"/>
      <c r="DJ17" s="594"/>
      <c r="DK17" s="594"/>
      <c r="DL17" s="594"/>
      <c r="DM17" s="594"/>
      <c r="DN17" s="594"/>
      <c r="DO17" s="594"/>
      <c r="DP17" s="594"/>
      <c r="EQ17" s="281" t="s">
        <v>30</v>
      </c>
      <c r="ES17" s="428" t="s">
        <v>281</v>
      </c>
      <c r="ET17" s="429"/>
      <c r="EU17" s="429"/>
      <c r="EV17" s="429"/>
      <c r="EW17" s="429"/>
      <c r="EX17" s="429"/>
      <c r="EY17" s="429"/>
      <c r="EZ17" s="429"/>
      <c r="FA17" s="429"/>
      <c r="FB17" s="429"/>
      <c r="FC17" s="429"/>
      <c r="FD17" s="429"/>
      <c r="FE17" s="595"/>
      <c r="FF17" s="289"/>
    </row>
    <row r="18" spans="147:162" ht="11.25">
      <c r="EQ18" s="281" t="s">
        <v>29</v>
      </c>
      <c r="ES18" s="428"/>
      <c r="ET18" s="429"/>
      <c r="EU18" s="429"/>
      <c r="EV18" s="429"/>
      <c r="EW18" s="429"/>
      <c r="EX18" s="429"/>
      <c r="EY18" s="429"/>
      <c r="EZ18" s="429"/>
      <c r="FA18" s="429"/>
      <c r="FB18" s="429"/>
      <c r="FC18" s="429"/>
      <c r="FD18" s="429"/>
      <c r="FE18" s="595"/>
      <c r="FF18" s="289"/>
    </row>
    <row r="19" spans="147:162" ht="13.5" customHeight="1">
      <c r="EQ19" s="281" t="s">
        <v>33</v>
      </c>
      <c r="ES19" s="428" t="s">
        <v>496</v>
      </c>
      <c r="ET19" s="429"/>
      <c r="EU19" s="429"/>
      <c r="EV19" s="429"/>
      <c r="EW19" s="429"/>
      <c r="EX19" s="429"/>
      <c r="EY19" s="429"/>
      <c r="EZ19" s="429"/>
      <c r="FA19" s="429"/>
      <c r="FB19" s="429"/>
      <c r="FC19" s="429"/>
      <c r="FD19" s="429"/>
      <c r="FE19" s="595"/>
      <c r="FF19" s="289"/>
    </row>
    <row r="20" spans="1:162" ht="21.75" customHeight="1">
      <c r="A20" s="288" t="s">
        <v>37</v>
      </c>
      <c r="K20" s="654" t="s">
        <v>559</v>
      </c>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4"/>
      <c r="BC20" s="654"/>
      <c r="BD20" s="654"/>
      <c r="BE20" s="654"/>
      <c r="BF20" s="654"/>
      <c r="BG20" s="654"/>
      <c r="BH20" s="654"/>
      <c r="BI20" s="654"/>
      <c r="BJ20" s="654"/>
      <c r="BK20" s="654"/>
      <c r="BL20" s="654"/>
      <c r="BM20" s="654"/>
      <c r="BN20" s="654"/>
      <c r="BO20" s="654"/>
      <c r="BP20" s="654"/>
      <c r="BQ20" s="654"/>
      <c r="BR20" s="654"/>
      <c r="BS20" s="654"/>
      <c r="BT20" s="654"/>
      <c r="BU20" s="654"/>
      <c r="BV20" s="654"/>
      <c r="BW20" s="654"/>
      <c r="BX20" s="654"/>
      <c r="BY20" s="654"/>
      <c r="BZ20" s="654"/>
      <c r="CA20" s="654"/>
      <c r="CB20" s="654"/>
      <c r="CC20" s="654"/>
      <c r="CD20" s="654"/>
      <c r="CE20" s="654"/>
      <c r="CF20" s="654"/>
      <c r="CG20" s="654"/>
      <c r="CH20" s="654"/>
      <c r="CI20" s="654"/>
      <c r="CJ20" s="654"/>
      <c r="CK20" s="654"/>
      <c r="CL20" s="654"/>
      <c r="CM20" s="654"/>
      <c r="CN20" s="654"/>
      <c r="CO20" s="654"/>
      <c r="CP20" s="654"/>
      <c r="CQ20" s="654"/>
      <c r="CR20" s="654"/>
      <c r="CS20" s="654"/>
      <c r="CT20" s="654"/>
      <c r="CU20" s="654"/>
      <c r="CV20" s="654"/>
      <c r="CW20" s="654"/>
      <c r="CX20" s="654"/>
      <c r="CY20" s="654"/>
      <c r="CZ20" s="654"/>
      <c r="DA20" s="654"/>
      <c r="DB20" s="654"/>
      <c r="DC20" s="654"/>
      <c r="DD20" s="654"/>
      <c r="DE20" s="654"/>
      <c r="DF20" s="654"/>
      <c r="DG20" s="654"/>
      <c r="DH20" s="654"/>
      <c r="DI20" s="654"/>
      <c r="DJ20" s="654"/>
      <c r="DK20" s="654"/>
      <c r="DL20" s="654"/>
      <c r="DM20" s="654"/>
      <c r="DN20" s="654"/>
      <c r="DO20" s="654"/>
      <c r="DP20" s="654"/>
      <c r="DQ20" s="654"/>
      <c r="DR20" s="654"/>
      <c r="DS20" s="654"/>
      <c r="DT20" s="654"/>
      <c r="DU20" s="654"/>
      <c r="EQ20" s="281" t="s">
        <v>34</v>
      </c>
      <c r="ES20" s="428" t="s">
        <v>280</v>
      </c>
      <c r="ET20" s="429"/>
      <c r="EU20" s="429"/>
      <c r="EV20" s="429"/>
      <c r="EW20" s="429"/>
      <c r="EX20" s="429"/>
      <c r="EY20" s="429"/>
      <c r="EZ20" s="429"/>
      <c r="FA20" s="429"/>
      <c r="FB20" s="429"/>
      <c r="FC20" s="429"/>
      <c r="FD20" s="429"/>
      <c r="FE20" s="595"/>
      <c r="FF20" s="289"/>
    </row>
    <row r="21" spans="1:162" ht="18" customHeight="1" thickBot="1">
      <c r="A21" s="288" t="s">
        <v>38</v>
      </c>
      <c r="EQ21" s="281" t="s">
        <v>35</v>
      </c>
      <c r="ES21" s="446" t="s">
        <v>36</v>
      </c>
      <c r="ET21" s="447"/>
      <c r="EU21" s="447"/>
      <c r="EV21" s="447"/>
      <c r="EW21" s="447"/>
      <c r="EX21" s="447"/>
      <c r="EY21" s="447"/>
      <c r="EZ21" s="447"/>
      <c r="FA21" s="447"/>
      <c r="FB21" s="447"/>
      <c r="FC21" s="447"/>
      <c r="FD21" s="447"/>
      <c r="FE21" s="596"/>
      <c r="FF21" s="289"/>
    </row>
    <row r="22" ht="11.25"/>
    <row r="23" spans="1:163" s="24" customFormat="1" ht="10.5">
      <c r="A23" s="630" t="s">
        <v>41</v>
      </c>
      <c r="B23" s="630"/>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c r="BS23" s="630"/>
      <c r="BT23" s="630"/>
      <c r="BU23" s="630"/>
      <c r="BV23" s="630"/>
      <c r="BW23" s="630"/>
      <c r="BX23" s="630"/>
      <c r="BY23" s="630"/>
      <c r="BZ23" s="630"/>
      <c r="CA23" s="630"/>
      <c r="CB23" s="630"/>
      <c r="CC23" s="630"/>
      <c r="CD23" s="630"/>
      <c r="CE23" s="630"/>
      <c r="CF23" s="630"/>
      <c r="CG23" s="630"/>
      <c r="CH23" s="630"/>
      <c r="CI23" s="630"/>
      <c r="CJ23" s="630"/>
      <c r="CK23" s="630"/>
      <c r="CL23" s="630"/>
      <c r="CM23" s="630"/>
      <c r="CN23" s="630"/>
      <c r="CO23" s="630"/>
      <c r="CP23" s="630"/>
      <c r="CQ23" s="630"/>
      <c r="CR23" s="630"/>
      <c r="CS23" s="630"/>
      <c r="CT23" s="630"/>
      <c r="CU23" s="630"/>
      <c r="CV23" s="630"/>
      <c r="CW23" s="630"/>
      <c r="CX23" s="630"/>
      <c r="CY23" s="630"/>
      <c r="CZ23" s="630"/>
      <c r="DA23" s="630"/>
      <c r="DB23" s="630"/>
      <c r="DC23" s="630"/>
      <c r="DD23" s="630"/>
      <c r="DE23" s="630"/>
      <c r="DF23" s="630"/>
      <c r="DG23" s="630"/>
      <c r="DH23" s="630"/>
      <c r="DI23" s="630"/>
      <c r="DJ23" s="630"/>
      <c r="DK23" s="630"/>
      <c r="DL23" s="630"/>
      <c r="DM23" s="630"/>
      <c r="DN23" s="630"/>
      <c r="DO23" s="630"/>
      <c r="DP23" s="630"/>
      <c r="DQ23" s="630"/>
      <c r="DR23" s="630"/>
      <c r="DS23" s="630"/>
      <c r="DT23" s="630"/>
      <c r="DU23" s="630"/>
      <c r="DV23" s="630"/>
      <c r="DW23" s="630"/>
      <c r="DX23" s="630"/>
      <c r="DY23" s="630"/>
      <c r="DZ23" s="630"/>
      <c r="EA23" s="630"/>
      <c r="EB23" s="630"/>
      <c r="EC23" s="630"/>
      <c r="ED23" s="630"/>
      <c r="EE23" s="630"/>
      <c r="EF23" s="630"/>
      <c r="EG23" s="630"/>
      <c r="EH23" s="630"/>
      <c r="EI23" s="630"/>
      <c r="EJ23" s="630"/>
      <c r="EK23" s="630"/>
      <c r="EL23" s="630"/>
      <c r="EM23" s="630"/>
      <c r="EN23" s="630"/>
      <c r="EO23" s="630"/>
      <c r="EP23" s="630"/>
      <c r="EQ23" s="630"/>
      <c r="ER23" s="630"/>
      <c r="ES23" s="630"/>
      <c r="ET23" s="630"/>
      <c r="EU23" s="630"/>
      <c r="EV23" s="630"/>
      <c r="EW23" s="630"/>
      <c r="EX23" s="630"/>
      <c r="EY23" s="630"/>
      <c r="EZ23" s="630"/>
      <c r="FA23" s="630"/>
      <c r="FB23" s="630"/>
      <c r="FC23" s="630"/>
      <c r="FD23" s="630"/>
      <c r="FE23" s="630"/>
      <c r="FF23" s="285"/>
      <c r="FG23" s="105"/>
    </row>
    <row r="24" ht="11.25"/>
    <row r="25" spans="1:162" ht="11.25">
      <c r="A25" s="617" t="s">
        <v>0</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9"/>
      <c r="BX25" s="609" t="s">
        <v>1</v>
      </c>
      <c r="BY25" s="610"/>
      <c r="BZ25" s="610"/>
      <c r="CA25" s="610"/>
      <c r="CB25" s="610"/>
      <c r="CC25" s="610"/>
      <c r="CD25" s="610"/>
      <c r="CE25" s="611"/>
      <c r="CF25" s="609" t="s">
        <v>2</v>
      </c>
      <c r="CG25" s="610"/>
      <c r="CH25" s="610"/>
      <c r="CI25" s="610"/>
      <c r="CJ25" s="610"/>
      <c r="CK25" s="610"/>
      <c r="CL25" s="610"/>
      <c r="CM25" s="610"/>
      <c r="CN25" s="610"/>
      <c r="CO25" s="610"/>
      <c r="CP25" s="610"/>
      <c r="CQ25" s="610"/>
      <c r="CR25" s="611"/>
      <c r="CS25" s="609" t="s">
        <v>3</v>
      </c>
      <c r="CT25" s="610"/>
      <c r="CU25" s="610"/>
      <c r="CV25" s="610"/>
      <c r="CW25" s="610"/>
      <c r="CX25" s="610"/>
      <c r="CY25" s="610"/>
      <c r="CZ25" s="610"/>
      <c r="DA25" s="610"/>
      <c r="DB25" s="610"/>
      <c r="DC25" s="610"/>
      <c r="DD25" s="610"/>
      <c r="DE25" s="611"/>
      <c r="DF25" s="650" t="s">
        <v>10</v>
      </c>
      <c r="DG25" s="651"/>
      <c r="DH25" s="651"/>
      <c r="DI25" s="651"/>
      <c r="DJ25" s="651"/>
      <c r="DK25" s="651"/>
      <c r="DL25" s="651"/>
      <c r="DM25" s="651"/>
      <c r="DN25" s="651"/>
      <c r="DO25" s="651"/>
      <c r="DP25" s="651"/>
      <c r="DQ25" s="651"/>
      <c r="DR25" s="651"/>
      <c r="DS25" s="651"/>
      <c r="DT25" s="651"/>
      <c r="DU25" s="651"/>
      <c r="DV25" s="651"/>
      <c r="DW25" s="651"/>
      <c r="DX25" s="651"/>
      <c r="DY25" s="651"/>
      <c r="DZ25" s="651"/>
      <c r="EA25" s="651"/>
      <c r="EB25" s="651"/>
      <c r="EC25" s="651"/>
      <c r="ED25" s="651"/>
      <c r="EE25" s="651"/>
      <c r="EF25" s="651"/>
      <c r="EG25" s="651"/>
      <c r="EH25" s="651"/>
      <c r="EI25" s="651"/>
      <c r="EJ25" s="651"/>
      <c r="EK25" s="651"/>
      <c r="EL25" s="651"/>
      <c r="EM25" s="651"/>
      <c r="EN25" s="651"/>
      <c r="EO25" s="651"/>
      <c r="EP25" s="651"/>
      <c r="EQ25" s="651"/>
      <c r="ER25" s="651"/>
      <c r="ES25" s="651"/>
      <c r="ET25" s="651"/>
      <c r="EU25" s="651"/>
      <c r="EV25" s="651"/>
      <c r="EW25" s="651"/>
      <c r="EX25" s="651"/>
      <c r="EY25" s="651"/>
      <c r="EZ25" s="651"/>
      <c r="FA25" s="651"/>
      <c r="FB25" s="651"/>
      <c r="FC25" s="651"/>
      <c r="FD25" s="651"/>
      <c r="FE25" s="652"/>
      <c r="FF25" s="280"/>
    </row>
    <row r="26" spans="1:162" ht="11.25" customHeight="1">
      <c r="A26" s="620"/>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c r="BK26" s="621"/>
      <c r="BL26" s="621"/>
      <c r="BM26" s="621"/>
      <c r="BN26" s="621"/>
      <c r="BO26" s="621"/>
      <c r="BP26" s="621"/>
      <c r="BQ26" s="621"/>
      <c r="BR26" s="621"/>
      <c r="BS26" s="621"/>
      <c r="BT26" s="621"/>
      <c r="BU26" s="621"/>
      <c r="BV26" s="621"/>
      <c r="BW26" s="622"/>
      <c r="BX26" s="647"/>
      <c r="BY26" s="648"/>
      <c r="BZ26" s="648"/>
      <c r="CA26" s="648"/>
      <c r="CB26" s="648"/>
      <c r="CC26" s="648"/>
      <c r="CD26" s="648"/>
      <c r="CE26" s="649"/>
      <c r="CF26" s="647"/>
      <c r="CG26" s="648"/>
      <c r="CH26" s="648"/>
      <c r="CI26" s="648"/>
      <c r="CJ26" s="648"/>
      <c r="CK26" s="648"/>
      <c r="CL26" s="648"/>
      <c r="CM26" s="648"/>
      <c r="CN26" s="648"/>
      <c r="CO26" s="648"/>
      <c r="CP26" s="648"/>
      <c r="CQ26" s="648"/>
      <c r="CR26" s="649"/>
      <c r="CS26" s="647"/>
      <c r="CT26" s="648"/>
      <c r="CU26" s="648"/>
      <c r="CV26" s="648"/>
      <c r="CW26" s="648"/>
      <c r="CX26" s="648"/>
      <c r="CY26" s="648"/>
      <c r="CZ26" s="648"/>
      <c r="DA26" s="648"/>
      <c r="DB26" s="648"/>
      <c r="DC26" s="648"/>
      <c r="DD26" s="648"/>
      <c r="DE26" s="649"/>
      <c r="DF26" s="635" t="s">
        <v>4</v>
      </c>
      <c r="DG26" s="636"/>
      <c r="DH26" s="636"/>
      <c r="DI26" s="636"/>
      <c r="DJ26" s="636"/>
      <c r="DK26" s="636"/>
      <c r="DL26" s="637" t="s">
        <v>279</v>
      </c>
      <c r="DM26" s="637"/>
      <c r="DN26" s="637"/>
      <c r="DO26" s="638" t="s">
        <v>5</v>
      </c>
      <c r="DP26" s="638"/>
      <c r="DQ26" s="638"/>
      <c r="DR26" s="639"/>
      <c r="DS26" s="635" t="s">
        <v>4</v>
      </c>
      <c r="DT26" s="636"/>
      <c r="DU26" s="636"/>
      <c r="DV26" s="636"/>
      <c r="DW26" s="636"/>
      <c r="DX26" s="636"/>
      <c r="DY26" s="637" t="s">
        <v>531</v>
      </c>
      <c r="DZ26" s="637"/>
      <c r="EA26" s="637"/>
      <c r="EB26" s="638" t="s">
        <v>5</v>
      </c>
      <c r="EC26" s="638"/>
      <c r="ED26" s="638"/>
      <c r="EE26" s="639"/>
      <c r="EF26" s="635" t="s">
        <v>4</v>
      </c>
      <c r="EG26" s="636"/>
      <c r="EH26" s="636"/>
      <c r="EI26" s="636"/>
      <c r="EJ26" s="636"/>
      <c r="EK26" s="636"/>
      <c r="EL26" s="637" t="s">
        <v>558</v>
      </c>
      <c r="EM26" s="637"/>
      <c r="EN26" s="637"/>
      <c r="EO26" s="638" t="s">
        <v>5</v>
      </c>
      <c r="EP26" s="638"/>
      <c r="EQ26" s="638"/>
      <c r="ER26" s="639"/>
      <c r="ES26" s="609" t="s">
        <v>9</v>
      </c>
      <c r="ET26" s="610"/>
      <c r="EU26" s="610"/>
      <c r="EV26" s="610"/>
      <c r="EW26" s="610"/>
      <c r="EX26" s="610"/>
      <c r="EY26" s="610"/>
      <c r="EZ26" s="610"/>
      <c r="FA26" s="610"/>
      <c r="FB26" s="610"/>
      <c r="FC26" s="610"/>
      <c r="FD26" s="610"/>
      <c r="FE26" s="611"/>
      <c r="FF26" s="273"/>
    </row>
    <row r="27" spans="1:162" ht="39" customHeight="1">
      <c r="A27" s="644"/>
      <c r="B27" s="645"/>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5"/>
      <c r="AY27" s="645"/>
      <c r="AZ27" s="645"/>
      <c r="BA27" s="645"/>
      <c r="BB27" s="645"/>
      <c r="BC27" s="645"/>
      <c r="BD27" s="645"/>
      <c r="BE27" s="645"/>
      <c r="BF27" s="645"/>
      <c r="BG27" s="645"/>
      <c r="BH27" s="645"/>
      <c r="BI27" s="645"/>
      <c r="BJ27" s="645"/>
      <c r="BK27" s="645"/>
      <c r="BL27" s="645"/>
      <c r="BM27" s="645"/>
      <c r="BN27" s="645"/>
      <c r="BO27" s="645"/>
      <c r="BP27" s="645"/>
      <c r="BQ27" s="645"/>
      <c r="BR27" s="645"/>
      <c r="BS27" s="645"/>
      <c r="BT27" s="645"/>
      <c r="BU27" s="645"/>
      <c r="BV27" s="645"/>
      <c r="BW27" s="646"/>
      <c r="BX27" s="612"/>
      <c r="BY27" s="613"/>
      <c r="BZ27" s="613"/>
      <c r="CA27" s="613"/>
      <c r="CB27" s="613"/>
      <c r="CC27" s="613"/>
      <c r="CD27" s="613"/>
      <c r="CE27" s="614"/>
      <c r="CF27" s="612"/>
      <c r="CG27" s="613"/>
      <c r="CH27" s="613"/>
      <c r="CI27" s="613"/>
      <c r="CJ27" s="613"/>
      <c r="CK27" s="613"/>
      <c r="CL27" s="613"/>
      <c r="CM27" s="613"/>
      <c r="CN27" s="613"/>
      <c r="CO27" s="613"/>
      <c r="CP27" s="613"/>
      <c r="CQ27" s="613"/>
      <c r="CR27" s="614"/>
      <c r="CS27" s="612"/>
      <c r="CT27" s="613"/>
      <c r="CU27" s="613"/>
      <c r="CV27" s="613"/>
      <c r="CW27" s="613"/>
      <c r="CX27" s="613"/>
      <c r="CY27" s="613"/>
      <c r="CZ27" s="613"/>
      <c r="DA27" s="613"/>
      <c r="DB27" s="613"/>
      <c r="DC27" s="613"/>
      <c r="DD27" s="613"/>
      <c r="DE27" s="614"/>
      <c r="DF27" s="627" t="s">
        <v>6</v>
      </c>
      <c r="DG27" s="628"/>
      <c r="DH27" s="628"/>
      <c r="DI27" s="628"/>
      <c r="DJ27" s="628"/>
      <c r="DK27" s="628"/>
      <c r="DL27" s="628"/>
      <c r="DM27" s="628"/>
      <c r="DN27" s="628"/>
      <c r="DO27" s="628"/>
      <c r="DP27" s="628"/>
      <c r="DQ27" s="628"/>
      <c r="DR27" s="629"/>
      <c r="DS27" s="627" t="s">
        <v>7</v>
      </c>
      <c r="DT27" s="628"/>
      <c r="DU27" s="628"/>
      <c r="DV27" s="628"/>
      <c r="DW27" s="628"/>
      <c r="DX27" s="628"/>
      <c r="DY27" s="628"/>
      <c r="DZ27" s="628"/>
      <c r="EA27" s="628"/>
      <c r="EB27" s="628"/>
      <c r="EC27" s="628"/>
      <c r="ED27" s="628"/>
      <c r="EE27" s="629"/>
      <c r="EF27" s="627" t="s">
        <v>8</v>
      </c>
      <c r="EG27" s="628"/>
      <c r="EH27" s="628"/>
      <c r="EI27" s="628"/>
      <c r="EJ27" s="628"/>
      <c r="EK27" s="628"/>
      <c r="EL27" s="628"/>
      <c r="EM27" s="628"/>
      <c r="EN27" s="628"/>
      <c r="EO27" s="628"/>
      <c r="EP27" s="628"/>
      <c r="EQ27" s="628"/>
      <c r="ER27" s="629"/>
      <c r="ES27" s="612"/>
      <c r="ET27" s="613"/>
      <c r="EU27" s="613"/>
      <c r="EV27" s="613"/>
      <c r="EW27" s="613"/>
      <c r="EX27" s="613"/>
      <c r="EY27" s="613"/>
      <c r="EZ27" s="613"/>
      <c r="FA27" s="613"/>
      <c r="FB27" s="613"/>
      <c r="FC27" s="613"/>
      <c r="FD27" s="613"/>
      <c r="FE27" s="614"/>
      <c r="FF27" s="273"/>
    </row>
    <row r="28" spans="1:162" ht="12" thickBot="1">
      <c r="A28" s="641" t="s">
        <v>11</v>
      </c>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42"/>
      <c r="AY28" s="642"/>
      <c r="AZ28" s="642"/>
      <c r="BA28" s="642"/>
      <c r="BB28" s="642"/>
      <c r="BC28" s="642"/>
      <c r="BD28" s="642"/>
      <c r="BE28" s="642"/>
      <c r="BF28" s="642"/>
      <c r="BG28" s="642"/>
      <c r="BH28" s="642"/>
      <c r="BI28" s="642"/>
      <c r="BJ28" s="642"/>
      <c r="BK28" s="642"/>
      <c r="BL28" s="642"/>
      <c r="BM28" s="642"/>
      <c r="BN28" s="642"/>
      <c r="BO28" s="642"/>
      <c r="BP28" s="642"/>
      <c r="BQ28" s="642"/>
      <c r="BR28" s="642"/>
      <c r="BS28" s="642"/>
      <c r="BT28" s="642"/>
      <c r="BU28" s="642"/>
      <c r="BV28" s="642"/>
      <c r="BW28" s="643"/>
      <c r="BX28" s="656" t="s">
        <v>12</v>
      </c>
      <c r="BY28" s="657"/>
      <c r="BZ28" s="657"/>
      <c r="CA28" s="657"/>
      <c r="CB28" s="657"/>
      <c r="CC28" s="657"/>
      <c r="CD28" s="657"/>
      <c r="CE28" s="658"/>
      <c r="CF28" s="656" t="s">
        <v>13</v>
      </c>
      <c r="CG28" s="657"/>
      <c r="CH28" s="657"/>
      <c r="CI28" s="657"/>
      <c r="CJ28" s="657"/>
      <c r="CK28" s="657"/>
      <c r="CL28" s="657"/>
      <c r="CM28" s="657"/>
      <c r="CN28" s="657"/>
      <c r="CO28" s="657"/>
      <c r="CP28" s="657"/>
      <c r="CQ28" s="657"/>
      <c r="CR28" s="658"/>
      <c r="CS28" s="656" t="s">
        <v>14</v>
      </c>
      <c r="CT28" s="657"/>
      <c r="CU28" s="657"/>
      <c r="CV28" s="657"/>
      <c r="CW28" s="657"/>
      <c r="CX28" s="657"/>
      <c r="CY28" s="657"/>
      <c r="CZ28" s="657"/>
      <c r="DA28" s="657"/>
      <c r="DB28" s="657"/>
      <c r="DC28" s="657"/>
      <c r="DD28" s="657"/>
      <c r="DE28" s="658"/>
      <c r="DF28" s="623" t="s">
        <v>15</v>
      </c>
      <c r="DG28" s="624"/>
      <c r="DH28" s="624"/>
      <c r="DI28" s="624"/>
      <c r="DJ28" s="624"/>
      <c r="DK28" s="624"/>
      <c r="DL28" s="624"/>
      <c r="DM28" s="624"/>
      <c r="DN28" s="624"/>
      <c r="DO28" s="624"/>
      <c r="DP28" s="624"/>
      <c r="DQ28" s="624"/>
      <c r="DR28" s="625"/>
      <c r="DS28" s="623" t="s">
        <v>16</v>
      </c>
      <c r="DT28" s="624"/>
      <c r="DU28" s="624"/>
      <c r="DV28" s="624"/>
      <c r="DW28" s="624"/>
      <c r="DX28" s="624"/>
      <c r="DY28" s="624"/>
      <c r="DZ28" s="624"/>
      <c r="EA28" s="624"/>
      <c r="EB28" s="624"/>
      <c r="EC28" s="624"/>
      <c r="ED28" s="624"/>
      <c r="EE28" s="625"/>
      <c r="EF28" s="623" t="s">
        <v>17</v>
      </c>
      <c r="EG28" s="624"/>
      <c r="EH28" s="624"/>
      <c r="EI28" s="624"/>
      <c r="EJ28" s="624"/>
      <c r="EK28" s="624"/>
      <c r="EL28" s="624"/>
      <c r="EM28" s="624"/>
      <c r="EN28" s="624"/>
      <c r="EO28" s="624"/>
      <c r="EP28" s="624"/>
      <c r="EQ28" s="624"/>
      <c r="ER28" s="625"/>
      <c r="ES28" s="623" t="s">
        <v>18</v>
      </c>
      <c r="ET28" s="624"/>
      <c r="EU28" s="624"/>
      <c r="EV28" s="624"/>
      <c r="EW28" s="624"/>
      <c r="EX28" s="624"/>
      <c r="EY28" s="624"/>
      <c r="EZ28" s="624"/>
      <c r="FA28" s="624"/>
      <c r="FB28" s="624"/>
      <c r="FC28" s="624"/>
      <c r="FD28" s="624"/>
      <c r="FE28" s="625"/>
      <c r="FF28" s="106"/>
    </row>
    <row r="29" spans="1:166" s="24" customFormat="1" ht="12.75" customHeight="1">
      <c r="A29" s="451" t="s">
        <v>468</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605" t="s">
        <v>42</v>
      </c>
      <c r="BY29" s="606"/>
      <c r="BZ29" s="606"/>
      <c r="CA29" s="606"/>
      <c r="CB29" s="606"/>
      <c r="CC29" s="606"/>
      <c r="CD29" s="606"/>
      <c r="CE29" s="607"/>
      <c r="CF29" s="608" t="s">
        <v>43</v>
      </c>
      <c r="CG29" s="606"/>
      <c r="CH29" s="606"/>
      <c r="CI29" s="606"/>
      <c r="CJ29" s="606"/>
      <c r="CK29" s="606"/>
      <c r="CL29" s="606"/>
      <c r="CM29" s="606"/>
      <c r="CN29" s="606"/>
      <c r="CO29" s="606"/>
      <c r="CP29" s="606"/>
      <c r="CQ29" s="606"/>
      <c r="CR29" s="607"/>
      <c r="CS29" s="608" t="s">
        <v>43</v>
      </c>
      <c r="CT29" s="606"/>
      <c r="CU29" s="606"/>
      <c r="CV29" s="606"/>
      <c r="CW29" s="606"/>
      <c r="CX29" s="606"/>
      <c r="CY29" s="606"/>
      <c r="CZ29" s="606"/>
      <c r="DA29" s="606"/>
      <c r="DB29" s="606"/>
      <c r="DC29" s="606"/>
      <c r="DD29" s="606"/>
      <c r="DE29" s="607"/>
      <c r="DF29" s="659">
        <v>661297.05</v>
      </c>
      <c r="DG29" s="660"/>
      <c r="DH29" s="660"/>
      <c r="DI29" s="660"/>
      <c r="DJ29" s="660"/>
      <c r="DK29" s="660"/>
      <c r="DL29" s="660"/>
      <c r="DM29" s="660"/>
      <c r="DN29" s="660"/>
      <c r="DO29" s="660"/>
      <c r="DP29" s="660"/>
      <c r="DQ29" s="660"/>
      <c r="DR29" s="661"/>
      <c r="DS29" s="662">
        <v>0</v>
      </c>
      <c r="DT29" s="663"/>
      <c r="DU29" s="663"/>
      <c r="DV29" s="663"/>
      <c r="DW29" s="663"/>
      <c r="DX29" s="663"/>
      <c r="DY29" s="663"/>
      <c r="DZ29" s="663"/>
      <c r="EA29" s="663"/>
      <c r="EB29" s="663"/>
      <c r="EC29" s="663"/>
      <c r="ED29" s="663"/>
      <c r="EE29" s="664"/>
      <c r="EF29" s="662">
        <v>0</v>
      </c>
      <c r="EG29" s="663"/>
      <c r="EH29" s="663"/>
      <c r="EI29" s="663"/>
      <c r="EJ29" s="663"/>
      <c r="EK29" s="663"/>
      <c r="EL29" s="663"/>
      <c r="EM29" s="663"/>
      <c r="EN29" s="663"/>
      <c r="EO29" s="663"/>
      <c r="EP29" s="663"/>
      <c r="EQ29" s="663"/>
      <c r="ER29" s="664"/>
      <c r="ES29" s="631"/>
      <c r="ET29" s="632"/>
      <c r="EU29" s="632"/>
      <c r="EV29" s="632"/>
      <c r="EW29" s="632"/>
      <c r="EX29" s="632"/>
      <c r="EY29" s="632"/>
      <c r="EZ29" s="632"/>
      <c r="FA29" s="632"/>
      <c r="FB29" s="632"/>
      <c r="FC29" s="632"/>
      <c r="FD29" s="632"/>
      <c r="FE29" s="633"/>
      <c r="FF29" s="285"/>
      <c r="FG29" s="107">
        <v>2022</v>
      </c>
      <c r="FH29" s="107">
        <v>2023</v>
      </c>
      <c r="FI29" s="107">
        <v>2024</v>
      </c>
      <c r="FJ29" s="107"/>
    </row>
    <row r="30" spans="1:175" s="24" customFormat="1" ht="12.75" customHeight="1">
      <c r="A30" s="451" t="s">
        <v>469</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3" t="s">
        <v>44</v>
      </c>
      <c r="BY30" s="454"/>
      <c r="BZ30" s="454"/>
      <c r="CA30" s="454"/>
      <c r="CB30" s="454"/>
      <c r="CC30" s="454"/>
      <c r="CD30" s="454"/>
      <c r="CE30" s="455"/>
      <c r="CF30" s="456" t="s">
        <v>43</v>
      </c>
      <c r="CG30" s="454"/>
      <c r="CH30" s="454"/>
      <c r="CI30" s="454"/>
      <c r="CJ30" s="454"/>
      <c r="CK30" s="454"/>
      <c r="CL30" s="454"/>
      <c r="CM30" s="454"/>
      <c r="CN30" s="454"/>
      <c r="CO30" s="454"/>
      <c r="CP30" s="454"/>
      <c r="CQ30" s="454"/>
      <c r="CR30" s="455"/>
      <c r="CS30" s="456" t="s">
        <v>43</v>
      </c>
      <c r="CT30" s="454"/>
      <c r="CU30" s="454"/>
      <c r="CV30" s="454"/>
      <c r="CW30" s="454"/>
      <c r="CX30" s="454"/>
      <c r="CY30" s="454"/>
      <c r="CZ30" s="454"/>
      <c r="DA30" s="454"/>
      <c r="DB30" s="454"/>
      <c r="DC30" s="454"/>
      <c r="DD30" s="454"/>
      <c r="DE30" s="455"/>
      <c r="DF30" s="590">
        <v>749240.62</v>
      </c>
      <c r="DG30" s="591"/>
      <c r="DH30" s="591"/>
      <c r="DI30" s="591"/>
      <c r="DJ30" s="591"/>
      <c r="DK30" s="591"/>
      <c r="DL30" s="591"/>
      <c r="DM30" s="591"/>
      <c r="DN30" s="591"/>
      <c r="DO30" s="591"/>
      <c r="DP30" s="591"/>
      <c r="DQ30" s="591"/>
      <c r="DR30" s="592"/>
      <c r="DS30" s="588"/>
      <c r="DT30" s="586"/>
      <c r="DU30" s="586"/>
      <c r="DV30" s="586"/>
      <c r="DW30" s="586"/>
      <c r="DX30" s="586"/>
      <c r="DY30" s="586"/>
      <c r="DZ30" s="586"/>
      <c r="EA30" s="586"/>
      <c r="EB30" s="586"/>
      <c r="EC30" s="586"/>
      <c r="ED30" s="586"/>
      <c r="EE30" s="587"/>
      <c r="EF30" s="588"/>
      <c r="EG30" s="586"/>
      <c r="EH30" s="586"/>
      <c r="EI30" s="586"/>
      <c r="EJ30" s="586"/>
      <c r="EK30" s="586"/>
      <c r="EL30" s="586"/>
      <c r="EM30" s="586"/>
      <c r="EN30" s="586"/>
      <c r="EO30" s="586"/>
      <c r="EP30" s="586"/>
      <c r="EQ30" s="586"/>
      <c r="ER30" s="587"/>
      <c r="ES30" s="588"/>
      <c r="ET30" s="586"/>
      <c r="EU30" s="586"/>
      <c r="EV30" s="586"/>
      <c r="EW30" s="586"/>
      <c r="EX30" s="586"/>
      <c r="EY30" s="586"/>
      <c r="EZ30" s="586"/>
      <c r="FA30" s="586"/>
      <c r="FB30" s="586"/>
      <c r="FC30" s="586"/>
      <c r="FD30" s="586"/>
      <c r="FE30" s="589"/>
      <c r="FF30" s="285"/>
      <c r="FG30" s="105"/>
      <c r="FH30" s="107"/>
      <c r="FI30" s="107"/>
      <c r="FJ30" s="107"/>
      <c r="FS30" s="108"/>
    </row>
    <row r="31" spans="1:171" s="24" customFormat="1" ht="10.5">
      <c r="A31" s="451" t="s">
        <v>45</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3" t="s">
        <v>46</v>
      </c>
      <c r="BY31" s="454"/>
      <c r="BZ31" s="454"/>
      <c r="CA31" s="454"/>
      <c r="CB31" s="454"/>
      <c r="CC31" s="454"/>
      <c r="CD31" s="454"/>
      <c r="CE31" s="455"/>
      <c r="CF31" s="456"/>
      <c r="CG31" s="454"/>
      <c r="CH31" s="454"/>
      <c r="CI31" s="454"/>
      <c r="CJ31" s="454"/>
      <c r="CK31" s="454"/>
      <c r="CL31" s="454"/>
      <c r="CM31" s="454"/>
      <c r="CN31" s="454"/>
      <c r="CO31" s="454"/>
      <c r="CP31" s="454"/>
      <c r="CQ31" s="454"/>
      <c r="CR31" s="455"/>
      <c r="CS31" s="456"/>
      <c r="CT31" s="454"/>
      <c r="CU31" s="454"/>
      <c r="CV31" s="454"/>
      <c r="CW31" s="454"/>
      <c r="CX31" s="454"/>
      <c r="CY31" s="454"/>
      <c r="CZ31" s="454"/>
      <c r="DA31" s="454"/>
      <c r="DB31" s="454"/>
      <c r="DC31" s="454"/>
      <c r="DD31" s="454"/>
      <c r="DE31" s="455"/>
      <c r="DF31" s="585">
        <f>DF32+DF35+DF48+DF44</f>
        <v>120283415.83</v>
      </c>
      <c r="DG31" s="586"/>
      <c r="DH31" s="586"/>
      <c r="DI31" s="586"/>
      <c r="DJ31" s="586"/>
      <c r="DK31" s="586"/>
      <c r="DL31" s="586"/>
      <c r="DM31" s="586"/>
      <c r="DN31" s="586"/>
      <c r="DO31" s="586"/>
      <c r="DP31" s="586"/>
      <c r="DQ31" s="586"/>
      <c r="DR31" s="587"/>
      <c r="DS31" s="585">
        <f>DS32+DS35+DS48</f>
        <v>107755539.05680025</v>
      </c>
      <c r="DT31" s="586"/>
      <c r="DU31" s="586"/>
      <c r="DV31" s="586"/>
      <c r="DW31" s="586"/>
      <c r="DX31" s="586"/>
      <c r="DY31" s="586"/>
      <c r="DZ31" s="586"/>
      <c r="EA31" s="586"/>
      <c r="EB31" s="586"/>
      <c r="EC31" s="586"/>
      <c r="ED31" s="586"/>
      <c r="EE31" s="587"/>
      <c r="EF31" s="585">
        <f>EF32+EF35+EF48</f>
        <v>109262262.05680025</v>
      </c>
      <c r="EG31" s="586"/>
      <c r="EH31" s="586"/>
      <c r="EI31" s="586"/>
      <c r="EJ31" s="586"/>
      <c r="EK31" s="586"/>
      <c r="EL31" s="586"/>
      <c r="EM31" s="586"/>
      <c r="EN31" s="586"/>
      <c r="EO31" s="586"/>
      <c r="EP31" s="586"/>
      <c r="EQ31" s="586"/>
      <c r="ER31" s="587"/>
      <c r="ES31" s="588"/>
      <c r="ET31" s="586"/>
      <c r="EU31" s="586"/>
      <c r="EV31" s="586"/>
      <c r="EW31" s="586"/>
      <c r="EX31" s="586"/>
      <c r="EY31" s="586"/>
      <c r="EZ31" s="586"/>
      <c r="FA31" s="586"/>
      <c r="FB31" s="586"/>
      <c r="FC31" s="586"/>
      <c r="FD31" s="586"/>
      <c r="FE31" s="589"/>
      <c r="FF31" s="285"/>
      <c r="FG31" s="109">
        <f>DF31+DF29-DF60</f>
        <v>749240.6168610901</v>
      </c>
      <c r="FH31" s="112">
        <f>DS31+DS29-DS60</f>
        <v>4.999339580535889E-05</v>
      </c>
      <c r="FI31" s="112">
        <f>EF31+EF29-EF60</f>
        <v>4.997849464416504E-05</v>
      </c>
      <c r="FJ31" s="107"/>
      <c r="FO31" s="108"/>
    </row>
    <row r="32" spans="1:166" ht="22.5" customHeight="1">
      <c r="A32" s="478" t="s">
        <v>47</v>
      </c>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28" t="s">
        <v>48</v>
      </c>
      <c r="BY32" s="429"/>
      <c r="BZ32" s="429"/>
      <c r="CA32" s="429"/>
      <c r="CB32" s="429"/>
      <c r="CC32" s="429"/>
      <c r="CD32" s="429"/>
      <c r="CE32" s="430"/>
      <c r="CF32" s="431" t="s">
        <v>49</v>
      </c>
      <c r="CG32" s="429"/>
      <c r="CH32" s="429"/>
      <c r="CI32" s="429"/>
      <c r="CJ32" s="429"/>
      <c r="CK32" s="429"/>
      <c r="CL32" s="429"/>
      <c r="CM32" s="429"/>
      <c r="CN32" s="429"/>
      <c r="CO32" s="429"/>
      <c r="CP32" s="429"/>
      <c r="CQ32" s="429"/>
      <c r="CR32" s="430"/>
      <c r="CS32" s="431" t="s">
        <v>449</v>
      </c>
      <c r="CT32" s="429"/>
      <c r="CU32" s="429"/>
      <c r="CV32" s="429"/>
      <c r="CW32" s="429"/>
      <c r="CX32" s="429"/>
      <c r="CY32" s="429"/>
      <c r="CZ32" s="429"/>
      <c r="DA32" s="429"/>
      <c r="DB32" s="429"/>
      <c r="DC32" s="429"/>
      <c r="DD32" s="429"/>
      <c r="DE32" s="430"/>
      <c r="DF32" s="487">
        <f>DF33</f>
        <v>9398.099999999999</v>
      </c>
      <c r="DG32" s="488"/>
      <c r="DH32" s="488"/>
      <c r="DI32" s="488"/>
      <c r="DJ32" s="488"/>
      <c r="DK32" s="488"/>
      <c r="DL32" s="488"/>
      <c r="DM32" s="488"/>
      <c r="DN32" s="488"/>
      <c r="DO32" s="488"/>
      <c r="DP32" s="488"/>
      <c r="DQ32" s="488"/>
      <c r="DR32" s="489"/>
      <c r="DS32" s="457">
        <f>DS33</f>
        <v>0</v>
      </c>
      <c r="DT32" s="458"/>
      <c r="DU32" s="458"/>
      <c r="DV32" s="458"/>
      <c r="DW32" s="458"/>
      <c r="DX32" s="458"/>
      <c r="DY32" s="458"/>
      <c r="DZ32" s="458"/>
      <c r="EA32" s="458"/>
      <c r="EB32" s="458"/>
      <c r="EC32" s="458"/>
      <c r="ED32" s="458"/>
      <c r="EE32" s="459"/>
      <c r="EF32" s="457">
        <f>EF33</f>
        <v>0</v>
      </c>
      <c r="EG32" s="458"/>
      <c r="EH32" s="458"/>
      <c r="EI32" s="458"/>
      <c r="EJ32" s="458"/>
      <c r="EK32" s="458"/>
      <c r="EL32" s="458"/>
      <c r="EM32" s="458"/>
      <c r="EN32" s="458"/>
      <c r="EO32" s="458"/>
      <c r="EP32" s="458"/>
      <c r="EQ32" s="458"/>
      <c r="ER32" s="459"/>
      <c r="ES32" s="413"/>
      <c r="ET32" s="414"/>
      <c r="EU32" s="414"/>
      <c r="EV32" s="414"/>
      <c r="EW32" s="414"/>
      <c r="EX32" s="414"/>
      <c r="EY32" s="414"/>
      <c r="EZ32" s="414"/>
      <c r="FA32" s="414"/>
      <c r="FB32" s="414"/>
      <c r="FC32" s="414"/>
      <c r="FD32" s="414"/>
      <c r="FE32" s="415"/>
      <c r="FF32" s="278"/>
      <c r="FG32" s="110"/>
      <c r="FH32" s="280"/>
      <c r="FI32" s="280"/>
      <c r="FJ32" s="280"/>
    </row>
    <row r="33" spans="1:162" ht="23.25" customHeight="1">
      <c r="A33" s="667" t="s">
        <v>448</v>
      </c>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668"/>
      <c r="BN33" s="668"/>
      <c r="BO33" s="668"/>
      <c r="BP33" s="668"/>
      <c r="BQ33" s="668"/>
      <c r="BR33" s="668"/>
      <c r="BS33" s="668"/>
      <c r="BT33" s="668"/>
      <c r="BU33" s="668"/>
      <c r="BV33" s="668"/>
      <c r="BW33" s="669"/>
      <c r="BX33" s="473" t="s">
        <v>51</v>
      </c>
      <c r="BY33" s="474"/>
      <c r="BZ33" s="474"/>
      <c r="CA33" s="474"/>
      <c r="CB33" s="474"/>
      <c r="CC33" s="474"/>
      <c r="CD33" s="474"/>
      <c r="CE33" s="475"/>
      <c r="CF33" s="476" t="s">
        <v>49</v>
      </c>
      <c r="CG33" s="474"/>
      <c r="CH33" s="474"/>
      <c r="CI33" s="474"/>
      <c r="CJ33" s="474"/>
      <c r="CK33" s="474"/>
      <c r="CL33" s="474"/>
      <c r="CM33" s="474"/>
      <c r="CN33" s="474"/>
      <c r="CO33" s="474"/>
      <c r="CP33" s="474"/>
      <c r="CQ33" s="474"/>
      <c r="CR33" s="475"/>
      <c r="CS33" s="476" t="s">
        <v>449</v>
      </c>
      <c r="CT33" s="474"/>
      <c r="CU33" s="474"/>
      <c r="CV33" s="474"/>
      <c r="CW33" s="474"/>
      <c r="CX33" s="474"/>
      <c r="CY33" s="474"/>
      <c r="CZ33" s="474"/>
      <c r="DA33" s="474"/>
      <c r="DB33" s="474"/>
      <c r="DC33" s="474"/>
      <c r="DD33" s="474"/>
      <c r="DE33" s="475"/>
      <c r="DF33" s="533">
        <f>'доход 2022г '!E22+DF123</f>
        <v>9398.099999999999</v>
      </c>
      <c r="DG33" s="534"/>
      <c r="DH33" s="534"/>
      <c r="DI33" s="534"/>
      <c r="DJ33" s="534"/>
      <c r="DK33" s="534"/>
      <c r="DL33" s="534"/>
      <c r="DM33" s="534"/>
      <c r="DN33" s="534"/>
      <c r="DO33" s="534"/>
      <c r="DP33" s="534"/>
      <c r="DQ33" s="534"/>
      <c r="DR33" s="535"/>
      <c r="DS33" s="575">
        <f>'доход 2023г.'!E23+DS123</f>
        <v>0</v>
      </c>
      <c r="DT33" s="576"/>
      <c r="DU33" s="576"/>
      <c r="DV33" s="576"/>
      <c r="DW33" s="576"/>
      <c r="DX33" s="576"/>
      <c r="DY33" s="576"/>
      <c r="DZ33" s="576"/>
      <c r="EA33" s="576"/>
      <c r="EB33" s="576"/>
      <c r="EC33" s="576"/>
      <c r="ED33" s="576"/>
      <c r="EE33" s="577"/>
      <c r="EF33" s="575">
        <f>'доход 2024г.'!E22+EF123</f>
        <v>0</v>
      </c>
      <c r="EG33" s="576"/>
      <c r="EH33" s="576"/>
      <c r="EI33" s="576"/>
      <c r="EJ33" s="576"/>
      <c r="EK33" s="576"/>
      <c r="EL33" s="576"/>
      <c r="EM33" s="576"/>
      <c r="EN33" s="576"/>
      <c r="EO33" s="576"/>
      <c r="EP33" s="576"/>
      <c r="EQ33" s="576"/>
      <c r="ER33" s="577"/>
      <c r="ES33" s="422"/>
      <c r="ET33" s="423"/>
      <c r="EU33" s="423"/>
      <c r="EV33" s="423"/>
      <c r="EW33" s="423"/>
      <c r="EX33" s="423"/>
      <c r="EY33" s="423"/>
      <c r="EZ33" s="423"/>
      <c r="FA33" s="423"/>
      <c r="FB33" s="423"/>
      <c r="FC33" s="423"/>
      <c r="FD33" s="423"/>
      <c r="FE33" s="425"/>
      <c r="FF33" s="278"/>
    </row>
    <row r="34" spans="1:162" ht="8.25" customHeight="1" thickBot="1">
      <c r="A34" s="670"/>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2"/>
      <c r="BX34" s="581"/>
      <c r="BY34" s="582"/>
      <c r="BZ34" s="582"/>
      <c r="CA34" s="582"/>
      <c r="CB34" s="582"/>
      <c r="CC34" s="582"/>
      <c r="CD34" s="582"/>
      <c r="CE34" s="583"/>
      <c r="CF34" s="584"/>
      <c r="CG34" s="582"/>
      <c r="CH34" s="582"/>
      <c r="CI34" s="582"/>
      <c r="CJ34" s="582"/>
      <c r="CK34" s="582"/>
      <c r="CL34" s="582"/>
      <c r="CM34" s="582"/>
      <c r="CN34" s="582"/>
      <c r="CO34" s="582"/>
      <c r="CP34" s="582"/>
      <c r="CQ34" s="582"/>
      <c r="CR34" s="583"/>
      <c r="CS34" s="584"/>
      <c r="CT34" s="582"/>
      <c r="CU34" s="582"/>
      <c r="CV34" s="582"/>
      <c r="CW34" s="582"/>
      <c r="CX34" s="582"/>
      <c r="CY34" s="582"/>
      <c r="CZ34" s="582"/>
      <c r="DA34" s="582"/>
      <c r="DB34" s="582"/>
      <c r="DC34" s="582"/>
      <c r="DD34" s="582"/>
      <c r="DE34" s="583"/>
      <c r="DF34" s="572"/>
      <c r="DG34" s="573"/>
      <c r="DH34" s="573"/>
      <c r="DI34" s="573"/>
      <c r="DJ34" s="573"/>
      <c r="DK34" s="573"/>
      <c r="DL34" s="573"/>
      <c r="DM34" s="573"/>
      <c r="DN34" s="573"/>
      <c r="DO34" s="573"/>
      <c r="DP34" s="573"/>
      <c r="DQ34" s="573"/>
      <c r="DR34" s="574"/>
      <c r="DS34" s="578"/>
      <c r="DT34" s="579"/>
      <c r="DU34" s="579"/>
      <c r="DV34" s="579"/>
      <c r="DW34" s="579"/>
      <c r="DX34" s="579"/>
      <c r="DY34" s="579"/>
      <c r="DZ34" s="579"/>
      <c r="EA34" s="579"/>
      <c r="EB34" s="579"/>
      <c r="EC34" s="579"/>
      <c r="ED34" s="579"/>
      <c r="EE34" s="580"/>
      <c r="EF34" s="578"/>
      <c r="EG34" s="579"/>
      <c r="EH34" s="579"/>
      <c r="EI34" s="579"/>
      <c r="EJ34" s="579"/>
      <c r="EK34" s="579"/>
      <c r="EL34" s="579"/>
      <c r="EM34" s="579"/>
      <c r="EN34" s="579"/>
      <c r="EO34" s="579"/>
      <c r="EP34" s="579"/>
      <c r="EQ34" s="579"/>
      <c r="ER34" s="580"/>
      <c r="ES34" s="557"/>
      <c r="ET34" s="558"/>
      <c r="EU34" s="558"/>
      <c r="EV34" s="558"/>
      <c r="EW34" s="558"/>
      <c r="EX34" s="558"/>
      <c r="EY34" s="558"/>
      <c r="EZ34" s="558"/>
      <c r="FA34" s="558"/>
      <c r="FB34" s="558"/>
      <c r="FC34" s="558"/>
      <c r="FD34" s="558"/>
      <c r="FE34" s="559"/>
      <c r="FF34" s="278"/>
    </row>
    <row r="35" spans="1:171" ht="25.5" customHeight="1">
      <c r="A35" s="520" t="s">
        <v>491</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c r="BW35" s="521"/>
      <c r="BX35" s="565" t="s">
        <v>52</v>
      </c>
      <c r="BY35" s="566"/>
      <c r="BZ35" s="566"/>
      <c r="CA35" s="566"/>
      <c r="CB35" s="566"/>
      <c r="CC35" s="566"/>
      <c r="CD35" s="566"/>
      <c r="CE35" s="567"/>
      <c r="CF35" s="568" t="s">
        <v>53</v>
      </c>
      <c r="CG35" s="566"/>
      <c r="CH35" s="566"/>
      <c r="CI35" s="566"/>
      <c r="CJ35" s="566"/>
      <c r="CK35" s="566"/>
      <c r="CL35" s="566"/>
      <c r="CM35" s="566"/>
      <c r="CN35" s="566"/>
      <c r="CO35" s="566"/>
      <c r="CP35" s="566"/>
      <c r="CQ35" s="566"/>
      <c r="CR35" s="567"/>
      <c r="CS35" s="568"/>
      <c r="CT35" s="566"/>
      <c r="CU35" s="566"/>
      <c r="CV35" s="566"/>
      <c r="CW35" s="566"/>
      <c r="CX35" s="566"/>
      <c r="CY35" s="566"/>
      <c r="CZ35" s="566"/>
      <c r="DA35" s="566"/>
      <c r="DB35" s="566"/>
      <c r="DC35" s="566"/>
      <c r="DD35" s="566"/>
      <c r="DE35" s="567"/>
      <c r="DF35" s="560">
        <f>DF36+DF37+DF38+DF39</f>
        <v>99990266.23</v>
      </c>
      <c r="DG35" s="561"/>
      <c r="DH35" s="561"/>
      <c r="DI35" s="561"/>
      <c r="DJ35" s="561"/>
      <c r="DK35" s="561"/>
      <c r="DL35" s="561"/>
      <c r="DM35" s="561"/>
      <c r="DN35" s="561"/>
      <c r="DO35" s="561"/>
      <c r="DP35" s="561"/>
      <c r="DQ35" s="561"/>
      <c r="DR35" s="562"/>
      <c r="DS35" s="560">
        <f>DS36+DS37+DS38+DS39</f>
        <v>95772431.05680025</v>
      </c>
      <c r="DT35" s="561"/>
      <c r="DU35" s="561"/>
      <c r="DV35" s="561"/>
      <c r="DW35" s="561"/>
      <c r="DX35" s="561"/>
      <c r="DY35" s="561"/>
      <c r="DZ35" s="561"/>
      <c r="EA35" s="561"/>
      <c r="EB35" s="561"/>
      <c r="EC35" s="561"/>
      <c r="ED35" s="561"/>
      <c r="EE35" s="562"/>
      <c r="EF35" s="560">
        <f>EF36+EF37+EF38+EF39</f>
        <v>97279154.05680025</v>
      </c>
      <c r="EG35" s="561"/>
      <c r="EH35" s="561"/>
      <c r="EI35" s="561"/>
      <c r="EJ35" s="561"/>
      <c r="EK35" s="561"/>
      <c r="EL35" s="561"/>
      <c r="EM35" s="561"/>
      <c r="EN35" s="561"/>
      <c r="EO35" s="561"/>
      <c r="EP35" s="561"/>
      <c r="EQ35" s="561"/>
      <c r="ER35" s="562"/>
      <c r="ES35" s="563"/>
      <c r="ET35" s="561"/>
      <c r="EU35" s="561"/>
      <c r="EV35" s="561"/>
      <c r="EW35" s="561"/>
      <c r="EX35" s="561"/>
      <c r="EY35" s="561"/>
      <c r="EZ35" s="561"/>
      <c r="FA35" s="561"/>
      <c r="FB35" s="561"/>
      <c r="FC35" s="561"/>
      <c r="FD35" s="561"/>
      <c r="FE35" s="564"/>
      <c r="FF35" s="278"/>
      <c r="FG35" s="110"/>
      <c r="FO35" s="111"/>
    </row>
    <row r="36" spans="1:163" ht="45.75" customHeight="1">
      <c r="A36" s="480" t="s">
        <v>54</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28" t="s">
        <v>55</v>
      </c>
      <c r="BY36" s="429"/>
      <c r="BZ36" s="429"/>
      <c r="CA36" s="429"/>
      <c r="CB36" s="429"/>
      <c r="CC36" s="429"/>
      <c r="CD36" s="429"/>
      <c r="CE36" s="430"/>
      <c r="CF36" s="431" t="s">
        <v>53</v>
      </c>
      <c r="CG36" s="429"/>
      <c r="CH36" s="429"/>
      <c r="CI36" s="429"/>
      <c r="CJ36" s="429"/>
      <c r="CK36" s="429"/>
      <c r="CL36" s="429"/>
      <c r="CM36" s="429"/>
      <c r="CN36" s="429"/>
      <c r="CO36" s="429"/>
      <c r="CP36" s="429"/>
      <c r="CQ36" s="429"/>
      <c r="CR36" s="430"/>
      <c r="CS36" s="431" t="s">
        <v>96</v>
      </c>
      <c r="CT36" s="429"/>
      <c r="CU36" s="429"/>
      <c r="CV36" s="429"/>
      <c r="CW36" s="429"/>
      <c r="CX36" s="429"/>
      <c r="CY36" s="429"/>
      <c r="CZ36" s="429"/>
      <c r="DA36" s="429"/>
      <c r="DB36" s="429"/>
      <c r="DC36" s="429"/>
      <c r="DD36" s="429"/>
      <c r="DE36" s="430"/>
      <c r="DF36" s="554">
        <v>96342672.2</v>
      </c>
      <c r="DG36" s="555"/>
      <c r="DH36" s="555"/>
      <c r="DI36" s="555"/>
      <c r="DJ36" s="555"/>
      <c r="DK36" s="555"/>
      <c r="DL36" s="555"/>
      <c r="DM36" s="555"/>
      <c r="DN36" s="555"/>
      <c r="DO36" s="555"/>
      <c r="DP36" s="555"/>
      <c r="DQ36" s="555"/>
      <c r="DR36" s="556"/>
      <c r="DS36" s="482">
        <v>92908020.3</v>
      </c>
      <c r="DT36" s="483"/>
      <c r="DU36" s="483"/>
      <c r="DV36" s="483"/>
      <c r="DW36" s="483"/>
      <c r="DX36" s="483"/>
      <c r="DY36" s="483"/>
      <c r="DZ36" s="483"/>
      <c r="EA36" s="483"/>
      <c r="EB36" s="483"/>
      <c r="EC36" s="483"/>
      <c r="ED36" s="483"/>
      <c r="EE36" s="484"/>
      <c r="EF36" s="482">
        <v>94414743.3</v>
      </c>
      <c r="EG36" s="483"/>
      <c r="EH36" s="483"/>
      <c r="EI36" s="483"/>
      <c r="EJ36" s="483"/>
      <c r="EK36" s="483"/>
      <c r="EL36" s="483"/>
      <c r="EM36" s="483"/>
      <c r="EN36" s="483"/>
      <c r="EO36" s="483"/>
      <c r="EP36" s="483"/>
      <c r="EQ36" s="483"/>
      <c r="ER36" s="484"/>
      <c r="ES36" s="413"/>
      <c r="ET36" s="414"/>
      <c r="EU36" s="414"/>
      <c r="EV36" s="414"/>
      <c r="EW36" s="414"/>
      <c r="EX36" s="414"/>
      <c r="EY36" s="414"/>
      <c r="EZ36" s="414"/>
      <c r="FA36" s="414"/>
      <c r="FB36" s="414"/>
      <c r="FC36" s="414"/>
      <c r="FD36" s="414"/>
      <c r="FE36" s="415"/>
      <c r="FF36" s="140"/>
      <c r="FG36" s="269"/>
    </row>
    <row r="37" spans="1:171" ht="12.75" customHeight="1">
      <c r="A37" s="379" t="s">
        <v>576</v>
      </c>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1"/>
      <c r="BX37" s="428"/>
      <c r="BY37" s="429"/>
      <c r="BZ37" s="429"/>
      <c r="CA37" s="429"/>
      <c r="CB37" s="429"/>
      <c r="CC37" s="429"/>
      <c r="CD37" s="429"/>
      <c r="CE37" s="430"/>
      <c r="CF37" s="431" t="s">
        <v>53</v>
      </c>
      <c r="CG37" s="429"/>
      <c r="CH37" s="429"/>
      <c r="CI37" s="429"/>
      <c r="CJ37" s="429"/>
      <c r="CK37" s="429"/>
      <c r="CL37" s="429"/>
      <c r="CM37" s="429"/>
      <c r="CN37" s="429"/>
      <c r="CO37" s="429"/>
      <c r="CP37" s="429"/>
      <c r="CQ37" s="429"/>
      <c r="CR37" s="430"/>
      <c r="CS37" s="431" t="s">
        <v>96</v>
      </c>
      <c r="CT37" s="429"/>
      <c r="CU37" s="429"/>
      <c r="CV37" s="429"/>
      <c r="CW37" s="429"/>
      <c r="CX37" s="429"/>
      <c r="CY37" s="429"/>
      <c r="CZ37" s="429"/>
      <c r="DA37" s="429"/>
      <c r="DB37" s="429"/>
      <c r="DC37" s="429"/>
      <c r="DD37" s="429"/>
      <c r="DE37" s="430"/>
      <c r="DF37" s="482">
        <f>'доход 2022г '!E38+'доход 2022г '!H54-491653.77-38116.62</f>
        <v>3639084.65</v>
      </c>
      <c r="DG37" s="483"/>
      <c r="DH37" s="483"/>
      <c r="DI37" s="483"/>
      <c r="DJ37" s="483"/>
      <c r="DK37" s="483"/>
      <c r="DL37" s="483"/>
      <c r="DM37" s="483"/>
      <c r="DN37" s="483"/>
      <c r="DO37" s="483"/>
      <c r="DP37" s="483"/>
      <c r="DQ37" s="483"/>
      <c r="DR37" s="484"/>
      <c r="DS37" s="482">
        <f>'доход 2023г.'!E39+'доход 2023г.'!H55</f>
        <v>2864410.7568002422</v>
      </c>
      <c r="DT37" s="483"/>
      <c r="DU37" s="483"/>
      <c r="DV37" s="483"/>
      <c r="DW37" s="483"/>
      <c r="DX37" s="483"/>
      <c r="DY37" s="483"/>
      <c r="DZ37" s="483"/>
      <c r="EA37" s="483"/>
      <c r="EB37" s="483"/>
      <c r="EC37" s="483"/>
      <c r="ED37" s="483"/>
      <c r="EE37" s="484"/>
      <c r="EF37" s="482">
        <f>'доход 2024г.'!H54+'доход 2024г.'!E38</f>
        <v>2864410.7568002422</v>
      </c>
      <c r="EG37" s="483"/>
      <c r="EH37" s="483"/>
      <c r="EI37" s="483"/>
      <c r="EJ37" s="483"/>
      <c r="EK37" s="483"/>
      <c r="EL37" s="483"/>
      <c r="EM37" s="483"/>
      <c r="EN37" s="483"/>
      <c r="EO37" s="483"/>
      <c r="EP37" s="483"/>
      <c r="EQ37" s="483"/>
      <c r="ER37" s="484"/>
      <c r="ES37" s="413"/>
      <c r="ET37" s="414"/>
      <c r="EU37" s="414"/>
      <c r="EV37" s="414"/>
      <c r="EW37" s="414"/>
      <c r="EX37" s="414"/>
      <c r="EY37" s="414"/>
      <c r="EZ37" s="414"/>
      <c r="FA37" s="414"/>
      <c r="FB37" s="414"/>
      <c r="FC37" s="414"/>
      <c r="FD37" s="414"/>
      <c r="FE37" s="415"/>
      <c r="FF37" s="140">
        <v>3677201.27</v>
      </c>
      <c r="FG37" s="269">
        <f>DF37-FF37</f>
        <v>-38116.62000000011</v>
      </c>
      <c r="FO37" s="111"/>
    </row>
    <row r="38" spans="1:163" ht="12.75" customHeight="1">
      <c r="A38" s="569"/>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1"/>
      <c r="BX38" s="428"/>
      <c r="BY38" s="429"/>
      <c r="BZ38" s="429"/>
      <c r="CA38" s="429"/>
      <c r="CB38" s="429"/>
      <c r="CC38" s="429"/>
      <c r="CD38" s="429"/>
      <c r="CE38" s="430"/>
      <c r="CF38" s="431" t="s">
        <v>53</v>
      </c>
      <c r="CG38" s="429"/>
      <c r="CH38" s="429"/>
      <c r="CI38" s="429"/>
      <c r="CJ38" s="429"/>
      <c r="CK38" s="429"/>
      <c r="CL38" s="429"/>
      <c r="CM38" s="429"/>
      <c r="CN38" s="429"/>
      <c r="CO38" s="429"/>
      <c r="CP38" s="429"/>
      <c r="CQ38" s="429"/>
      <c r="CR38" s="430"/>
      <c r="CS38" s="431" t="s">
        <v>99</v>
      </c>
      <c r="CT38" s="429"/>
      <c r="CU38" s="429"/>
      <c r="CV38" s="429"/>
      <c r="CW38" s="429"/>
      <c r="CX38" s="429"/>
      <c r="CY38" s="429"/>
      <c r="CZ38" s="429"/>
      <c r="DA38" s="429"/>
      <c r="DB38" s="429"/>
      <c r="DC38" s="429"/>
      <c r="DD38" s="429"/>
      <c r="DE38" s="430"/>
      <c r="DF38" s="413"/>
      <c r="DG38" s="414"/>
      <c r="DH38" s="414"/>
      <c r="DI38" s="414"/>
      <c r="DJ38" s="414"/>
      <c r="DK38" s="414"/>
      <c r="DL38" s="414"/>
      <c r="DM38" s="414"/>
      <c r="DN38" s="414"/>
      <c r="DO38" s="414"/>
      <c r="DP38" s="414"/>
      <c r="DQ38" s="414"/>
      <c r="DR38" s="450"/>
      <c r="DS38" s="413"/>
      <c r="DT38" s="414"/>
      <c r="DU38" s="414"/>
      <c r="DV38" s="414"/>
      <c r="DW38" s="414"/>
      <c r="DX38" s="414"/>
      <c r="DY38" s="414"/>
      <c r="DZ38" s="414"/>
      <c r="EA38" s="414"/>
      <c r="EB38" s="414"/>
      <c r="EC38" s="414"/>
      <c r="ED38" s="414"/>
      <c r="EE38" s="450"/>
      <c r="EF38" s="413"/>
      <c r="EG38" s="414"/>
      <c r="EH38" s="414"/>
      <c r="EI38" s="414"/>
      <c r="EJ38" s="414"/>
      <c r="EK38" s="414"/>
      <c r="EL38" s="414"/>
      <c r="EM38" s="414"/>
      <c r="EN38" s="414"/>
      <c r="EO38" s="414"/>
      <c r="EP38" s="414"/>
      <c r="EQ38" s="414"/>
      <c r="ER38" s="450"/>
      <c r="ES38" s="413"/>
      <c r="ET38" s="414"/>
      <c r="EU38" s="414"/>
      <c r="EV38" s="414"/>
      <c r="EW38" s="414"/>
      <c r="EX38" s="414"/>
      <c r="EY38" s="414"/>
      <c r="EZ38" s="414"/>
      <c r="FA38" s="414"/>
      <c r="FB38" s="414"/>
      <c r="FC38" s="414"/>
      <c r="FD38" s="414"/>
      <c r="FE38" s="415"/>
      <c r="FF38" s="140"/>
      <c r="FG38" s="269"/>
    </row>
    <row r="39" spans="1:163" ht="12.75" customHeight="1">
      <c r="A39" s="382"/>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4"/>
      <c r="BX39" s="428"/>
      <c r="BY39" s="429"/>
      <c r="BZ39" s="429"/>
      <c r="CA39" s="429"/>
      <c r="CB39" s="429"/>
      <c r="CC39" s="429"/>
      <c r="CD39" s="429"/>
      <c r="CE39" s="430"/>
      <c r="CF39" s="431" t="s">
        <v>53</v>
      </c>
      <c r="CG39" s="429"/>
      <c r="CH39" s="429"/>
      <c r="CI39" s="429"/>
      <c r="CJ39" s="429"/>
      <c r="CK39" s="429"/>
      <c r="CL39" s="429"/>
      <c r="CM39" s="429"/>
      <c r="CN39" s="429"/>
      <c r="CO39" s="429"/>
      <c r="CP39" s="429"/>
      <c r="CQ39" s="429"/>
      <c r="CR39" s="430"/>
      <c r="CS39" s="431" t="s">
        <v>487</v>
      </c>
      <c r="CT39" s="429"/>
      <c r="CU39" s="429"/>
      <c r="CV39" s="429"/>
      <c r="CW39" s="429"/>
      <c r="CX39" s="429"/>
      <c r="CY39" s="429"/>
      <c r="CZ39" s="429"/>
      <c r="DA39" s="429"/>
      <c r="DB39" s="429"/>
      <c r="DC39" s="429"/>
      <c r="DD39" s="429"/>
      <c r="DE39" s="430"/>
      <c r="DF39" s="482">
        <f>'доход 2022г '!E62</f>
        <v>8509.38</v>
      </c>
      <c r="DG39" s="483"/>
      <c r="DH39" s="483"/>
      <c r="DI39" s="483"/>
      <c r="DJ39" s="483"/>
      <c r="DK39" s="483"/>
      <c r="DL39" s="483"/>
      <c r="DM39" s="483"/>
      <c r="DN39" s="483"/>
      <c r="DO39" s="483"/>
      <c r="DP39" s="483"/>
      <c r="DQ39" s="483"/>
      <c r="DR39" s="484"/>
      <c r="DS39" s="413"/>
      <c r="DT39" s="414"/>
      <c r="DU39" s="414"/>
      <c r="DV39" s="414"/>
      <c r="DW39" s="414"/>
      <c r="DX39" s="414"/>
      <c r="DY39" s="414"/>
      <c r="DZ39" s="414"/>
      <c r="EA39" s="414"/>
      <c r="EB39" s="414"/>
      <c r="EC39" s="414"/>
      <c r="ED39" s="414"/>
      <c r="EE39" s="450"/>
      <c r="EF39" s="413"/>
      <c r="EG39" s="414"/>
      <c r="EH39" s="414"/>
      <c r="EI39" s="414"/>
      <c r="EJ39" s="414"/>
      <c r="EK39" s="414"/>
      <c r="EL39" s="414"/>
      <c r="EM39" s="414"/>
      <c r="EN39" s="414"/>
      <c r="EO39" s="414"/>
      <c r="EP39" s="414"/>
      <c r="EQ39" s="414"/>
      <c r="ER39" s="450"/>
      <c r="ES39" s="413"/>
      <c r="ET39" s="414"/>
      <c r="EU39" s="414"/>
      <c r="EV39" s="414"/>
      <c r="EW39" s="414"/>
      <c r="EX39" s="414"/>
      <c r="EY39" s="414"/>
      <c r="EZ39" s="414"/>
      <c r="FA39" s="414"/>
      <c r="FB39" s="414"/>
      <c r="FC39" s="414"/>
      <c r="FD39" s="414"/>
      <c r="FE39" s="415"/>
      <c r="FF39" s="140"/>
      <c r="FG39" s="269"/>
    </row>
    <row r="40" spans="1:163" ht="13.5" customHeight="1">
      <c r="A40" s="673"/>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6"/>
      <c r="BR40" s="466"/>
      <c r="BS40" s="466"/>
      <c r="BT40" s="466"/>
      <c r="BU40" s="466"/>
      <c r="BV40" s="466"/>
      <c r="BW40" s="466"/>
      <c r="BX40" s="428"/>
      <c r="BY40" s="429"/>
      <c r="BZ40" s="429"/>
      <c r="CA40" s="429"/>
      <c r="CB40" s="429"/>
      <c r="CC40" s="429"/>
      <c r="CD40" s="429"/>
      <c r="CE40" s="430"/>
      <c r="CF40" s="431"/>
      <c r="CG40" s="429"/>
      <c r="CH40" s="429"/>
      <c r="CI40" s="429"/>
      <c r="CJ40" s="429"/>
      <c r="CK40" s="429"/>
      <c r="CL40" s="429"/>
      <c r="CM40" s="429"/>
      <c r="CN40" s="429"/>
      <c r="CO40" s="429"/>
      <c r="CP40" s="429"/>
      <c r="CQ40" s="429"/>
      <c r="CR40" s="430"/>
      <c r="CS40" s="431"/>
      <c r="CT40" s="429"/>
      <c r="CU40" s="429"/>
      <c r="CV40" s="429"/>
      <c r="CW40" s="429"/>
      <c r="CX40" s="429"/>
      <c r="CY40" s="429"/>
      <c r="CZ40" s="429"/>
      <c r="DA40" s="429"/>
      <c r="DB40" s="429"/>
      <c r="DC40" s="429"/>
      <c r="DD40" s="429"/>
      <c r="DE40" s="430"/>
      <c r="DF40" s="413"/>
      <c r="DG40" s="414"/>
      <c r="DH40" s="414"/>
      <c r="DI40" s="414"/>
      <c r="DJ40" s="414"/>
      <c r="DK40" s="414"/>
      <c r="DL40" s="414"/>
      <c r="DM40" s="414"/>
      <c r="DN40" s="414"/>
      <c r="DO40" s="414"/>
      <c r="DP40" s="414"/>
      <c r="DQ40" s="414"/>
      <c r="DR40" s="450"/>
      <c r="DS40" s="413"/>
      <c r="DT40" s="414"/>
      <c r="DU40" s="414"/>
      <c r="DV40" s="414"/>
      <c r="DW40" s="414"/>
      <c r="DX40" s="414"/>
      <c r="DY40" s="414"/>
      <c r="DZ40" s="414"/>
      <c r="EA40" s="414"/>
      <c r="EB40" s="414"/>
      <c r="EC40" s="414"/>
      <c r="ED40" s="414"/>
      <c r="EE40" s="450"/>
      <c r="EF40" s="413"/>
      <c r="EG40" s="414"/>
      <c r="EH40" s="414"/>
      <c r="EI40" s="414"/>
      <c r="EJ40" s="414"/>
      <c r="EK40" s="414"/>
      <c r="EL40" s="414"/>
      <c r="EM40" s="414"/>
      <c r="EN40" s="414"/>
      <c r="EO40" s="414"/>
      <c r="EP40" s="414"/>
      <c r="EQ40" s="414"/>
      <c r="ER40" s="450"/>
      <c r="ES40" s="413"/>
      <c r="ET40" s="414"/>
      <c r="EU40" s="414"/>
      <c r="EV40" s="414"/>
      <c r="EW40" s="414"/>
      <c r="EX40" s="414"/>
      <c r="EY40" s="414"/>
      <c r="EZ40" s="414"/>
      <c r="FA40" s="414"/>
      <c r="FB40" s="414"/>
      <c r="FC40" s="414"/>
      <c r="FD40" s="414"/>
      <c r="FE40" s="415"/>
      <c r="FF40" s="140"/>
      <c r="FG40" s="269"/>
    </row>
    <row r="41" spans="1:163" ht="10.5" customHeight="1">
      <c r="A41" s="520" t="s">
        <v>56</v>
      </c>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1"/>
      <c r="BL41" s="521"/>
      <c r="BM41" s="521"/>
      <c r="BN41" s="521"/>
      <c r="BO41" s="521"/>
      <c r="BP41" s="521"/>
      <c r="BQ41" s="521"/>
      <c r="BR41" s="521"/>
      <c r="BS41" s="521"/>
      <c r="BT41" s="521"/>
      <c r="BU41" s="521"/>
      <c r="BV41" s="521"/>
      <c r="BW41" s="521"/>
      <c r="BX41" s="428" t="s">
        <v>57</v>
      </c>
      <c r="BY41" s="429"/>
      <c r="BZ41" s="429"/>
      <c r="CA41" s="429"/>
      <c r="CB41" s="429"/>
      <c r="CC41" s="429"/>
      <c r="CD41" s="429"/>
      <c r="CE41" s="430"/>
      <c r="CF41" s="431" t="s">
        <v>58</v>
      </c>
      <c r="CG41" s="429"/>
      <c r="CH41" s="429"/>
      <c r="CI41" s="429"/>
      <c r="CJ41" s="429"/>
      <c r="CK41" s="429"/>
      <c r="CL41" s="429"/>
      <c r="CM41" s="429"/>
      <c r="CN41" s="429"/>
      <c r="CO41" s="429"/>
      <c r="CP41" s="429"/>
      <c r="CQ41" s="429"/>
      <c r="CR41" s="430"/>
      <c r="CS41" s="431"/>
      <c r="CT41" s="429"/>
      <c r="CU41" s="429"/>
      <c r="CV41" s="429"/>
      <c r="CW41" s="429"/>
      <c r="CX41" s="429"/>
      <c r="CY41" s="429"/>
      <c r="CZ41" s="429"/>
      <c r="DA41" s="429"/>
      <c r="DB41" s="429"/>
      <c r="DC41" s="429"/>
      <c r="DD41" s="429"/>
      <c r="DE41" s="430"/>
      <c r="DF41" s="413"/>
      <c r="DG41" s="414"/>
      <c r="DH41" s="414"/>
      <c r="DI41" s="414"/>
      <c r="DJ41" s="414"/>
      <c r="DK41" s="414"/>
      <c r="DL41" s="414"/>
      <c r="DM41" s="414"/>
      <c r="DN41" s="414"/>
      <c r="DO41" s="414"/>
      <c r="DP41" s="414"/>
      <c r="DQ41" s="414"/>
      <c r="DR41" s="450"/>
      <c r="DS41" s="413"/>
      <c r="DT41" s="414"/>
      <c r="DU41" s="414"/>
      <c r="DV41" s="414"/>
      <c r="DW41" s="414"/>
      <c r="DX41" s="414"/>
      <c r="DY41" s="414"/>
      <c r="DZ41" s="414"/>
      <c r="EA41" s="414"/>
      <c r="EB41" s="414"/>
      <c r="EC41" s="414"/>
      <c r="ED41" s="414"/>
      <c r="EE41" s="450"/>
      <c r="EF41" s="413"/>
      <c r="EG41" s="414"/>
      <c r="EH41" s="414"/>
      <c r="EI41" s="414"/>
      <c r="EJ41" s="414"/>
      <c r="EK41" s="414"/>
      <c r="EL41" s="414"/>
      <c r="EM41" s="414"/>
      <c r="EN41" s="414"/>
      <c r="EO41" s="414"/>
      <c r="EP41" s="414"/>
      <c r="EQ41" s="414"/>
      <c r="ER41" s="450"/>
      <c r="ES41" s="413"/>
      <c r="ET41" s="414"/>
      <c r="EU41" s="414"/>
      <c r="EV41" s="414"/>
      <c r="EW41" s="414"/>
      <c r="EX41" s="414"/>
      <c r="EY41" s="414"/>
      <c r="EZ41" s="414"/>
      <c r="FA41" s="414"/>
      <c r="FB41" s="414"/>
      <c r="FC41" s="414"/>
      <c r="FD41" s="414"/>
      <c r="FE41" s="415"/>
      <c r="FF41" s="140"/>
      <c r="FG41" s="269"/>
    </row>
    <row r="42" spans="1:163" ht="10.5" customHeight="1">
      <c r="A42" s="550" t="s">
        <v>50</v>
      </c>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1"/>
      <c r="BW42" s="551"/>
      <c r="BX42" s="473" t="s">
        <v>59</v>
      </c>
      <c r="BY42" s="474"/>
      <c r="BZ42" s="474"/>
      <c r="CA42" s="474"/>
      <c r="CB42" s="474"/>
      <c r="CC42" s="474"/>
      <c r="CD42" s="474"/>
      <c r="CE42" s="475"/>
      <c r="CF42" s="476" t="s">
        <v>58</v>
      </c>
      <c r="CG42" s="474"/>
      <c r="CH42" s="474"/>
      <c r="CI42" s="474"/>
      <c r="CJ42" s="474"/>
      <c r="CK42" s="474"/>
      <c r="CL42" s="474"/>
      <c r="CM42" s="474"/>
      <c r="CN42" s="474"/>
      <c r="CO42" s="474"/>
      <c r="CP42" s="474"/>
      <c r="CQ42" s="474"/>
      <c r="CR42" s="475"/>
      <c r="CS42" s="476"/>
      <c r="CT42" s="474"/>
      <c r="CU42" s="474"/>
      <c r="CV42" s="474"/>
      <c r="CW42" s="474"/>
      <c r="CX42" s="474"/>
      <c r="CY42" s="474"/>
      <c r="CZ42" s="474"/>
      <c r="DA42" s="474"/>
      <c r="DB42" s="474"/>
      <c r="DC42" s="474"/>
      <c r="DD42" s="474"/>
      <c r="DE42" s="475"/>
      <c r="DF42" s="422"/>
      <c r="DG42" s="423"/>
      <c r="DH42" s="423"/>
      <c r="DI42" s="423"/>
      <c r="DJ42" s="423"/>
      <c r="DK42" s="423"/>
      <c r="DL42" s="423"/>
      <c r="DM42" s="423"/>
      <c r="DN42" s="423"/>
      <c r="DO42" s="423"/>
      <c r="DP42" s="423"/>
      <c r="DQ42" s="423"/>
      <c r="DR42" s="424"/>
      <c r="DS42" s="422"/>
      <c r="DT42" s="423"/>
      <c r="DU42" s="423"/>
      <c r="DV42" s="423"/>
      <c r="DW42" s="423"/>
      <c r="DX42" s="423"/>
      <c r="DY42" s="423"/>
      <c r="DZ42" s="423"/>
      <c r="EA42" s="423"/>
      <c r="EB42" s="423"/>
      <c r="EC42" s="423"/>
      <c r="ED42" s="423"/>
      <c r="EE42" s="424"/>
      <c r="EF42" s="422"/>
      <c r="EG42" s="423"/>
      <c r="EH42" s="423"/>
      <c r="EI42" s="423"/>
      <c r="EJ42" s="423"/>
      <c r="EK42" s="423"/>
      <c r="EL42" s="423"/>
      <c r="EM42" s="423"/>
      <c r="EN42" s="423"/>
      <c r="EO42" s="423"/>
      <c r="EP42" s="423"/>
      <c r="EQ42" s="423"/>
      <c r="ER42" s="424"/>
      <c r="ES42" s="422"/>
      <c r="ET42" s="423"/>
      <c r="EU42" s="423"/>
      <c r="EV42" s="423"/>
      <c r="EW42" s="423"/>
      <c r="EX42" s="423"/>
      <c r="EY42" s="423"/>
      <c r="EZ42" s="423"/>
      <c r="FA42" s="423"/>
      <c r="FB42" s="423"/>
      <c r="FC42" s="423"/>
      <c r="FD42" s="423"/>
      <c r="FE42" s="425"/>
      <c r="FF42" s="140"/>
      <c r="FG42" s="269"/>
    </row>
    <row r="43" spans="1:163" ht="10.5" customHeight="1">
      <c r="A43" s="552"/>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3"/>
      <c r="BG43" s="553"/>
      <c r="BH43" s="553"/>
      <c r="BI43" s="553"/>
      <c r="BJ43" s="553"/>
      <c r="BK43" s="553"/>
      <c r="BL43" s="553"/>
      <c r="BM43" s="553"/>
      <c r="BN43" s="553"/>
      <c r="BO43" s="553"/>
      <c r="BP43" s="553"/>
      <c r="BQ43" s="553"/>
      <c r="BR43" s="553"/>
      <c r="BS43" s="553"/>
      <c r="BT43" s="553"/>
      <c r="BU43" s="553"/>
      <c r="BV43" s="553"/>
      <c r="BW43" s="553"/>
      <c r="BX43" s="528"/>
      <c r="BY43" s="529"/>
      <c r="BZ43" s="529"/>
      <c r="CA43" s="529"/>
      <c r="CB43" s="529"/>
      <c r="CC43" s="529"/>
      <c r="CD43" s="529"/>
      <c r="CE43" s="530"/>
      <c r="CF43" s="531"/>
      <c r="CG43" s="529"/>
      <c r="CH43" s="529"/>
      <c r="CI43" s="529"/>
      <c r="CJ43" s="529"/>
      <c r="CK43" s="529"/>
      <c r="CL43" s="529"/>
      <c r="CM43" s="529"/>
      <c r="CN43" s="529"/>
      <c r="CO43" s="529"/>
      <c r="CP43" s="529"/>
      <c r="CQ43" s="529"/>
      <c r="CR43" s="530"/>
      <c r="CS43" s="531"/>
      <c r="CT43" s="529"/>
      <c r="CU43" s="529"/>
      <c r="CV43" s="529"/>
      <c r="CW43" s="529"/>
      <c r="CX43" s="529"/>
      <c r="CY43" s="529"/>
      <c r="CZ43" s="529"/>
      <c r="DA43" s="529"/>
      <c r="DB43" s="529"/>
      <c r="DC43" s="529"/>
      <c r="DD43" s="529"/>
      <c r="DE43" s="530"/>
      <c r="DF43" s="522"/>
      <c r="DG43" s="523"/>
      <c r="DH43" s="523"/>
      <c r="DI43" s="523"/>
      <c r="DJ43" s="523"/>
      <c r="DK43" s="523"/>
      <c r="DL43" s="523"/>
      <c r="DM43" s="523"/>
      <c r="DN43" s="523"/>
      <c r="DO43" s="523"/>
      <c r="DP43" s="523"/>
      <c r="DQ43" s="523"/>
      <c r="DR43" s="524"/>
      <c r="DS43" s="522"/>
      <c r="DT43" s="523"/>
      <c r="DU43" s="523"/>
      <c r="DV43" s="523"/>
      <c r="DW43" s="523"/>
      <c r="DX43" s="523"/>
      <c r="DY43" s="523"/>
      <c r="DZ43" s="523"/>
      <c r="EA43" s="523"/>
      <c r="EB43" s="523"/>
      <c r="EC43" s="523"/>
      <c r="ED43" s="523"/>
      <c r="EE43" s="524"/>
      <c r="EF43" s="522"/>
      <c r="EG43" s="523"/>
      <c r="EH43" s="523"/>
      <c r="EI43" s="523"/>
      <c r="EJ43" s="523"/>
      <c r="EK43" s="523"/>
      <c r="EL43" s="523"/>
      <c r="EM43" s="523"/>
      <c r="EN43" s="523"/>
      <c r="EO43" s="523"/>
      <c r="EP43" s="523"/>
      <c r="EQ43" s="523"/>
      <c r="ER43" s="524"/>
      <c r="ES43" s="522"/>
      <c r="ET43" s="523"/>
      <c r="EU43" s="523"/>
      <c r="EV43" s="523"/>
      <c r="EW43" s="523"/>
      <c r="EX43" s="523"/>
      <c r="EY43" s="523"/>
      <c r="EZ43" s="523"/>
      <c r="FA43" s="523"/>
      <c r="FB43" s="523"/>
      <c r="FC43" s="523"/>
      <c r="FD43" s="523"/>
      <c r="FE43" s="525"/>
      <c r="FF43" s="140"/>
      <c r="FG43" s="269"/>
    </row>
    <row r="44" spans="1:163" ht="10.5" customHeight="1">
      <c r="A44" s="520" t="s">
        <v>60</v>
      </c>
      <c r="B44" s="521"/>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1"/>
      <c r="BI44" s="521"/>
      <c r="BJ44" s="521"/>
      <c r="BK44" s="521"/>
      <c r="BL44" s="521"/>
      <c r="BM44" s="521"/>
      <c r="BN44" s="521"/>
      <c r="BO44" s="521"/>
      <c r="BP44" s="521"/>
      <c r="BQ44" s="521"/>
      <c r="BR44" s="521"/>
      <c r="BS44" s="521"/>
      <c r="BT44" s="521"/>
      <c r="BU44" s="521"/>
      <c r="BV44" s="521"/>
      <c r="BW44" s="521"/>
      <c r="BX44" s="428" t="s">
        <v>61</v>
      </c>
      <c r="BY44" s="429"/>
      <c r="BZ44" s="429"/>
      <c r="CA44" s="429"/>
      <c r="CB44" s="429"/>
      <c r="CC44" s="429"/>
      <c r="CD44" s="429"/>
      <c r="CE44" s="430"/>
      <c r="CF44" s="431" t="s">
        <v>62</v>
      </c>
      <c r="CG44" s="429"/>
      <c r="CH44" s="429"/>
      <c r="CI44" s="429"/>
      <c r="CJ44" s="429"/>
      <c r="CK44" s="429"/>
      <c r="CL44" s="429"/>
      <c r="CM44" s="429"/>
      <c r="CN44" s="429"/>
      <c r="CO44" s="429"/>
      <c r="CP44" s="429"/>
      <c r="CQ44" s="429"/>
      <c r="CR44" s="430"/>
      <c r="CS44" s="431" t="s">
        <v>527</v>
      </c>
      <c r="CT44" s="429"/>
      <c r="CU44" s="429"/>
      <c r="CV44" s="429"/>
      <c r="CW44" s="429"/>
      <c r="CX44" s="429"/>
      <c r="CY44" s="429"/>
      <c r="CZ44" s="429"/>
      <c r="DA44" s="429"/>
      <c r="DB44" s="429"/>
      <c r="DC44" s="429"/>
      <c r="DD44" s="429"/>
      <c r="DE44" s="430"/>
      <c r="DF44" s="547">
        <f>DF47</f>
        <v>25900</v>
      </c>
      <c r="DG44" s="548"/>
      <c r="DH44" s="548"/>
      <c r="DI44" s="548"/>
      <c r="DJ44" s="548"/>
      <c r="DK44" s="548"/>
      <c r="DL44" s="548"/>
      <c r="DM44" s="548"/>
      <c r="DN44" s="548"/>
      <c r="DO44" s="548"/>
      <c r="DP44" s="548"/>
      <c r="DQ44" s="548"/>
      <c r="DR44" s="549"/>
      <c r="DS44" s="477">
        <v>0</v>
      </c>
      <c r="DT44" s="485"/>
      <c r="DU44" s="485"/>
      <c r="DV44" s="485"/>
      <c r="DW44" s="485"/>
      <c r="DX44" s="485"/>
      <c r="DY44" s="485"/>
      <c r="DZ44" s="485"/>
      <c r="EA44" s="485"/>
      <c r="EB44" s="485"/>
      <c r="EC44" s="485"/>
      <c r="ED44" s="485"/>
      <c r="EE44" s="486"/>
      <c r="EF44" s="477">
        <v>0</v>
      </c>
      <c r="EG44" s="485"/>
      <c r="EH44" s="485"/>
      <c r="EI44" s="485"/>
      <c r="EJ44" s="485"/>
      <c r="EK44" s="485"/>
      <c r="EL44" s="485"/>
      <c r="EM44" s="485"/>
      <c r="EN44" s="485"/>
      <c r="EO44" s="485"/>
      <c r="EP44" s="485"/>
      <c r="EQ44" s="485"/>
      <c r="ER44" s="486"/>
      <c r="ES44" s="413"/>
      <c r="ET44" s="414"/>
      <c r="EU44" s="414"/>
      <c r="EV44" s="414"/>
      <c r="EW44" s="414"/>
      <c r="EX44" s="414"/>
      <c r="EY44" s="414"/>
      <c r="EZ44" s="414"/>
      <c r="FA44" s="414"/>
      <c r="FB44" s="414"/>
      <c r="FC44" s="414"/>
      <c r="FD44" s="414"/>
      <c r="FE44" s="415"/>
      <c r="FF44" s="140"/>
      <c r="FG44" s="269"/>
    </row>
    <row r="45" spans="1:163" ht="10.5" customHeight="1">
      <c r="A45" s="526" t="s">
        <v>50</v>
      </c>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c r="BT45" s="527"/>
      <c r="BU45" s="527"/>
      <c r="BV45" s="527"/>
      <c r="BW45" s="527"/>
      <c r="BX45" s="473"/>
      <c r="BY45" s="474"/>
      <c r="BZ45" s="474"/>
      <c r="CA45" s="474"/>
      <c r="CB45" s="474"/>
      <c r="CC45" s="474"/>
      <c r="CD45" s="474"/>
      <c r="CE45" s="475"/>
      <c r="CF45" s="476"/>
      <c r="CG45" s="474"/>
      <c r="CH45" s="474"/>
      <c r="CI45" s="474"/>
      <c r="CJ45" s="474"/>
      <c r="CK45" s="474"/>
      <c r="CL45" s="474"/>
      <c r="CM45" s="474"/>
      <c r="CN45" s="474"/>
      <c r="CO45" s="474"/>
      <c r="CP45" s="474"/>
      <c r="CQ45" s="474"/>
      <c r="CR45" s="475"/>
      <c r="CS45" s="476"/>
      <c r="CT45" s="474"/>
      <c r="CU45" s="474"/>
      <c r="CV45" s="474"/>
      <c r="CW45" s="474"/>
      <c r="CX45" s="474"/>
      <c r="CY45" s="474"/>
      <c r="CZ45" s="474"/>
      <c r="DA45" s="474"/>
      <c r="DB45" s="474"/>
      <c r="DC45" s="474"/>
      <c r="DD45" s="474"/>
      <c r="DE45" s="475"/>
      <c r="DF45" s="541"/>
      <c r="DG45" s="542"/>
      <c r="DH45" s="542"/>
      <c r="DI45" s="542"/>
      <c r="DJ45" s="542"/>
      <c r="DK45" s="542"/>
      <c r="DL45" s="542"/>
      <c r="DM45" s="542"/>
      <c r="DN45" s="542"/>
      <c r="DO45" s="542"/>
      <c r="DP45" s="542"/>
      <c r="DQ45" s="542"/>
      <c r="DR45" s="543"/>
      <c r="DS45" s="422"/>
      <c r="DT45" s="423"/>
      <c r="DU45" s="423"/>
      <c r="DV45" s="423"/>
      <c r="DW45" s="423"/>
      <c r="DX45" s="423"/>
      <c r="DY45" s="423"/>
      <c r="DZ45" s="423"/>
      <c r="EA45" s="423"/>
      <c r="EB45" s="423"/>
      <c r="EC45" s="423"/>
      <c r="ED45" s="423"/>
      <c r="EE45" s="424"/>
      <c r="EF45" s="422"/>
      <c r="EG45" s="423"/>
      <c r="EH45" s="423"/>
      <c r="EI45" s="423"/>
      <c r="EJ45" s="423"/>
      <c r="EK45" s="423"/>
      <c r="EL45" s="423"/>
      <c r="EM45" s="423"/>
      <c r="EN45" s="423"/>
      <c r="EO45" s="423"/>
      <c r="EP45" s="423"/>
      <c r="EQ45" s="423"/>
      <c r="ER45" s="424"/>
      <c r="ES45" s="422"/>
      <c r="ET45" s="423"/>
      <c r="EU45" s="423"/>
      <c r="EV45" s="423"/>
      <c r="EW45" s="423"/>
      <c r="EX45" s="423"/>
      <c r="EY45" s="423"/>
      <c r="EZ45" s="423"/>
      <c r="FA45" s="423"/>
      <c r="FB45" s="423"/>
      <c r="FC45" s="423"/>
      <c r="FD45" s="423"/>
      <c r="FE45" s="425"/>
      <c r="FF45" s="140"/>
      <c r="FG45" s="269"/>
    </row>
    <row r="46" spans="1:163" ht="10.5" customHeight="1">
      <c r="A46" s="532"/>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528"/>
      <c r="BY46" s="529"/>
      <c r="BZ46" s="529"/>
      <c r="CA46" s="529"/>
      <c r="CB46" s="529"/>
      <c r="CC46" s="529"/>
      <c r="CD46" s="529"/>
      <c r="CE46" s="530"/>
      <c r="CF46" s="531"/>
      <c r="CG46" s="529"/>
      <c r="CH46" s="529"/>
      <c r="CI46" s="529"/>
      <c r="CJ46" s="529"/>
      <c r="CK46" s="529"/>
      <c r="CL46" s="529"/>
      <c r="CM46" s="529"/>
      <c r="CN46" s="529"/>
      <c r="CO46" s="529"/>
      <c r="CP46" s="529"/>
      <c r="CQ46" s="529"/>
      <c r="CR46" s="530"/>
      <c r="CS46" s="531"/>
      <c r="CT46" s="529"/>
      <c r="CU46" s="529"/>
      <c r="CV46" s="529"/>
      <c r="CW46" s="529"/>
      <c r="CX46" s="529"/>
      <c r="CY46" s="529"/>
      <c r="CZ46" s="529"/>
      <c r="DA46" s="529"/>
      <c r="DB46" s="529"/>
      <c r="DC46" s="529"/>
      <c r="DD46" s="529"/>
      <c r="DE46" s="530"/>
      <c r="DF46" s="544"/>
      <c r="DG46" s="545"/>
      <c r="DH46" s="545"/>
      <c r="DI46" s="545"/>
      <c r="DJ46" s="545"/>
      <c r="DK46" s="545"/>
      <c r="DL46" s="545"/>
      <c r="DM46" s="545"/>
      <c r="DN46" s="545"/>
      <c r="DO46" s="545"/>
      <c r="DP46" s="545"/>
      <c r="DQ46" s="545"/>
      <c r="DR46" s="546"/>
      <c r="DS46" s="522"/>
      <c r="DT46" s="523"/>
      <c r="DU46" s="523"/>
      <c r="DV46" s="523"/>
      <c r="DW46" s="523"/>
      <c r="DX46" s="523"/>
      <c r="DY46" s="523"/>
      <c r="DZ46" s="523"/>
      <c r="EA46" s="523"/>
      <c r="EB46" s="523"/>
      <c r="EC46" s="523"/>
      <c r="ED46" s="523"/>
      <c r="EE46" s="524"/>
      <c r="EF46" s="522"/>
      <c r="EG46" s="523"/>
      <c r="EH46" s="523"/>
      <c r="EI46" s="523"/>
      <c r="EJ46" s="523"/>
      <c r="EK46" s="523"/>
      <c r="EL46" s="523"/>
      <c r="EM46" s="523"/>
      <c r="EN46" s="523"/>
      <c r="EO46" s="523"/>
      <c r="EP46" s="523"/>
      <c r="EQ46" s="523"/>
      <c r="ER46" s="524"/>
      <c r="ES46" s="522"/>
      <c r="ET46" s="523"/>
      <c r="EU46" s="523"/>
      <c r="EV46" s="523"/>
      <c r="EW46" s="523"/>
      <c r="EX46" s="523"/>
      <c r="EY46" s="523"/>
      <c r="EZ46" s="523"/>
      <c r="FA46" s="523"/>
      <c r="FB46" s="523"/>
      <c r="FC46" s="523"/>
      <c r="FD46" s="523"/>
      <c r="FE46" s="525"/>
      <c r="FF46" s="140"/>
      <c r="FG46" s="269"/>
    </row>
    <row r="47" spans="1:163" ht="15" customHeight="1">
      <c r="A47" s="382" t="s">
        <v>526</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8"/>
      <c r="BY47" s="429"/>
      <c r="BZ47" s="429"/>
      <c r="CA47" s="429"/>
      <c r="CB47" s="429"/>
      <c r="CC47" s="429"/>
      <c r="CD47" s="429"/>
      <c r="CE47" s="430"/>
      <c r="CF47" s="431" t="s">
        <v>62</v>
      </c>
      <c r="CG47" s="429"/>
      <c r="CH47" s="429"/>
      <c r="CI47" s="429"/>
      <c r="CJ47" s="429"/>
      <c r="CK47" s="429"/>
      <c r="CL47" s="429"/>
      <c r="CM47" s="429"/>
      <c r="CN47" s="429"/>
      <c r="CO47" s="429"/>
      <c r="CP47" s="429"/>
      <c r="CQ47" s="429"/>
      <c r="CR47" s="430"/>
      <c r="CS47" s="431" t="s">
        <v>527</v>
      </c>
      <c r="CT47" s="429"/>
      <c r="CU47" s="429"/>
      <c r="CV47" s="429"/>
      <c r="CW47" s="429"/>
      <c r="CX47" s="429"/>
      <c r="CY47" s="429"/>
      <c r="CZ47" s="429"/>
      <c r="DA47" s="429"/>
      <c r="DB47" s="429"/>
      <c r="DC47" s="429"/>
      <c r="DD47" s="429"/>
      <c r="DE47" s="430"/>
      <c r="DF47" s="432">
        <f>'доход 2022г '!C93</f>
        <v>25900</v>
      </c>
      <c r="DG47" s="433"/>
      <c r="DH47" s="433"/>
      <c r="DI47" s="433"/>
      <c r="DJ47" s="433"/>
      <c r="DK47" s="433"/>
      <c r="DL47" s="433"/>
      <c r="DM47" s="433"/>
      <c r="DN47" s="433"/>
      <c r="DO47" s="433"/>
      <c r="DP47" s="433"/>
      <c r="DQ47" s="433"/>
      <c r="DR47" s="434"/>
      <c r="DS47" s="410">
        <v>0</v>
      </c>
      <c r="DT47" s="411"/>
      <c r="DU47" s="411"/>
      <c r="DV47" s="411"/>
      <c r="DW47" s="411"/>
      <c r="DX47" s="411"/>
      <c r="DY47" s="411"/>
      <c r="DZ47" s="411"/>
      <c r="EA47" s="411"/>
      <c r="EB47" s="411"/>
      <c r="EC47" s="411"/>
      <c r="ED47" s="411"/>
      <c r="EE47" s="412"/>
      <c r="EF47" s="410">
        <v>0</v>
      </c>
      <c r="EG47" s="411"/>
      <c r="EH47" s="411"/>
      <c r="EI47" s="411"/>
      <c r="EJ47" s="411"/>
      <c r="EK47" s="411"/>
      <c r="EL47" s="411"/>
      <c r="EM47" s="411"/>
      <c r="EN47" s="411"/>
      <c r="EO47" s="411"/>
      <c r="EP47" s="411"/>
      <c r="EQ47" s="411"/>
      <c r="ER47" s="412"/>
      <c r="ES47" s="413"/>
      <c r="ET47" s="414"/>
      <c r="EU47" s="414"/>
      <c r="EV47" s="414"/>
      <c r="EW47" s="414"/>
      <c r="EX47" s="414"/>
      <c r="EY47" s="414"/>
      <c r="EZ47" s="414"/>
      <c r="FA47" s="414"/>
      <c r="FB47" s="414"/>
      <c r="FC47" s="414"/>
      <c r="FD47" s="414"/>
      <c r="FE47" s="415"/>
      <c r="FF47" s="140"/>
      <c r="FG47" s="269"/>
    </row>
    <row r="48" spans="1:163" ht="15.75" customHeight="1">
      <c r="A48" s="478" t="s">
        <v>63</v>
      </c>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539"/>
      <c r="BE48" s="539"/>
      <c r="BF48" s="539"/>
      <c r="BG48" s="539"/>
      <c r="BH48" s="539"/>
      <c r="BI48" s="539"/>
      <c r="BJ48" s="539"/>
      <c r="BK48" s="539"/>
      <c r="BL48" s="539"/>
      <c r="BM48" s="539"/>
      <c r="BN48" s="539"/>
      <c r="BO48" s="539"/>
      <c r="BP48" s="539"/>
      <c r="BQ48" s="539"/>
      <c r="BR48" s="539"/>
      <c r="BS48" s="539"/>
      <c r="BT48" s="539"/>
      <c r="BU48" s="539"/>
      <c r="BV48" s="539"/>
      <c r="BW48" s="540"/>
      <c r="BX48" s="428" t="s">
        <v>64</v>
      </c>
      <c r="BY48" s="429"/>
      <c r="BZ48" s="429"/>
      <c r="CA48" s="429"/>
      <c r="CB48" s="429"/>
      <c r="CC48" s="429"/>
      <c r="CD48" s="429"/>
      <c r="CE48" s="430"/>
      <c r="CF48" s="431" t="s">
        <v>62</v>
      </c>
      <c r="CG48" s="429"/>
      <c r="CH48" s="429"/>
      <c r="CI48" s="429"/>
      <c r="CJ48" s="429"/>
      <c r="CK48" s="429"/>
      <c r="CL48" s="429"/>
      <c r="CM48" s="429"/>
      <c r="CN48" s="429"/>
      <c r="CO48" s="429"/>
      <c r="CP48" s="429"/>
      <c r="CQ48" s="429"/>
      <c r="CR48" s="430"/>
      <c r="CS48" s="431"/>
      <c r="CT48" s="429"/>
      <c r="CU48" s="429"/>
      <c r="CV48" s="429"/>
      <c r="CW48" s="429"/>
      <c r="CX48" s="429"/>
      <c r="CY48" s="429"/>
      <c r="CZ48" s="429"/>
      <c r="DA48" s="429"/>
      <c r="DB48" s="429"/>
      <c r="DC48" s="429"/>
      <c r="DD48" s="429"/>
      <c r="DE48" s="430"/>
      <c r="DF48" s="482">
        <f>DF49</f>
        <v>20257851.500000004</v>
      </c>
      <c r="DG48" s="483"/>
      <c r="DH48" s="483"/>
      <c r="DI48" s="483"/>
      <c r="DJ48" s="483"/>
      <c r="DK48" s="483"/>
      <c r="DL48" s="483"/>
      <c r="DM48" s="483"/>
      <c r="DN48" s="483"/>
      <c r="DO48" s="483"/>
      <c r="DP48" s="483"/>
      <c r="DQ48" s="483"/>
      <c r="DR48" s="484"/>
      <c r="DS48" s="482">
        <f>DS49</f>
        <v>11983108</v>
      </c>
      <c r="DT48" s="483"/>
      <c r="DU48" s="483"/>
      <c r="DV48" s="483"/>
      <c r="DW48" s="483"/>
      <c r="DX48" s="483"/>
      <c r="DY48" s="483"/>
      <c r="DZ48" s="483"/>
      <c r="EA48" s="483"/>
      <c r="EB48" s="483"/>
      <c r="EC48" s="483"/>
      <c r="ED48" s="483"/>
      <c r="EE48" s="484"/>
      <c r="EF48" s="482">
        <f>EF49</f>
        <v>11983108</v>
      </c>
      <c r="EG48" s="483"/>
      <c r="EH48" s="483"/>
      <c r="EI48" s="483"/>
      <c r="EJ48" s="483"/>
      <c r="EK48" s="483"/>
      <c r="EL48" s="483"/>
      <c r="EM48" s="483"/>
      <c r="EN48" s="483"/>
      <c r="EO48" s="483"/>
      <c r="EP48" s="483"/>
      <c r="EQ48" s="483"/>
      <c r="ER48" s="484"/>
      <c r="ES48" s="413"/>
      <c r="ET48" s="414"/>
      <c r="EU48" s="414"/>
      <c r="EV48" s="414"/>
      <c r="EW48" s="414"/>
      <c r="EX48" s="414"/>
      <c r="EY48" s="414"/>
      <c r="EZ48" s="414"/>
      <c r="FA48" s="414"/>
      <c r="FB48" s="414"/>
      <c r="FC48" s="414"/>
      <c r="FD48" s="414"/>
      <c r="FE48" s="415"/>
      <c r="FF48" s="140"/>
      <c r="FG48" s="269"/>
    </row>
    <row r="49" spans="1:171" ht="12" customHeight="1">
      <c r="A49" s="526" t="s">
        <v>50</v>
      </c>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473" t="s">
        <v>66</v>
      </c>
      <c r="BY49" s="474"/>
      <c r="BZ49" s="474"/>
      <c r="CA49" s="474"/>
      <c r="CB49" s="474"/>
      <c r="CC49" s="474"/>
      <c r="CD49" s="474"/>
      <c r="CE49" s="475"/>
      <c r="CF49" s="476" t="s">
        <v>62</v>
      </c>
      <c r="CG49" s="474"/>
      <c r="CH49" s="474"/>
      <c r="CI49" s="474"/>
      <c r="CJ49" s="474"/>
      <c r="CK49" s="474"/>
      <c r="CL49" s="474"/>
      <c r="CM49" s="474"/>
      <c r="CN49" s="474"/>
      <c r="CO49" s="474"/>
      <c r="CP49" s="474"/>
      <c r="CQ49" s="474"/>
      <c r="CR49" s="475"/>
      <c r="CS49" s="476" t="s">
        <v>452</v>
      </c>
      <c r="CT49" s="474"/>
      <c r="CU49" s="474"/>
      <c r="CV49" s="474"/>
      <c r="CW49" s="474"/>
      <c r="CX49" s="474"/>
      <c r="CY49" s="474"/>
      <c r="CZ49" s="474"/>
      <c r="DA49" s="474"/>
      <c r="DB49" s="474"/>
      <c r="DC49" s="474"/>
      <c r="DD49" s="474"/>
      <c r="DE49" s="475"/>
      <c r="DF49" s="533">
        <f>'доход 2022г '!E87</f>
        <v>20257851.500000004</v>
      </c>
      <c r="DG49" s="534"/>
      <c r="DH49" s="534"/>
      <c r="DI49" s="534"/>
      <c r="DJ49" s="534"/>
      <c r="DK49" s="534"/>
      <c r="DL49" s="534"/>
      <c r="DM49" s="534"/>
      <c r="DN49" s="534"/>
      <c r="DO49" s="534"/>
      <c r="DP49" s="534"/>
      <c r="DQ49" s="534"/>
      <c r="DR49" s="535"/>
      <c r="DS49" s="533">
        <f>11983108</f>
        <v>11983108</v>
      </c>
      <c r="DT49" s="534"/>
      <c r="DU49" s="534"/>
      <c r="DV49" s="534"/>
      <c r="DW49" s="534"/>
      <c r="DX49" s="534"/>
      <c r="DY49" s="534"/>
      <c r="DZ49" s="534"/>
      <c r="EA49" s="534"/>
      <c r="EB49" s="534"/>
      <c r="EC49" s="534"/>
      <c r="ED49" s="534"/>
      <c r="EE49" s="535"/>
      <c r="EF49" s="533">
        <f>11983108</f>
        <v>11983108</v>
      </c>
      <c r="EG49" s="534"/>
      <c r="EH49" s="534"/>
      <c r="EI49" s="534"/>
      <c r="EJ49" s="534"/>
      <c r="EK49" s="534"/>
      <c r="EL49" s="534"/>
      <c r="EM49" s="534"/>
      <c r="EN49" s="534"/>
      <c r="EO49" s="534"/>
      <c r="EP49" s="534"/>
      <c r="EQ49" s="534"/>
      <c r="ER49" s="535"/>
      <c r="ES49" s="422"/>
      <c r="ET49" s="423"/>
      <c r="EU49" s="423"/>
      <c r="EV49" s="423"/>
      <c r="EW49" s="423"/>
      <c r="EX49" s="423"/>
      <c r="EY49" s="423"/>
      <c r="EZ49" s="423"/>
      <c r="FA49" s="423"/>
      <c r="FB49" s="423"/>
      <c r="FC49" s="423"/>
      <c r="FD49" s="423"/>
      <c r="FE49" s="425"/>
      <c r="FF49" s="140">
        <f>23150226.6-DF49</f>
        <v>2892375.0999999978</v>
      </c>
      <c r="FG49" s="666"/>
      <c r="FO49" s="111"/>
    </row>
    <row r="50" spans="1:163" ht="10.5" customHeight="1">
      <c r="A50" s="532" t="s">
        <v>65</v>
      </c>
      <c r="B50" s="494"/>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528"/>
      <c r="BY50" s="529"/>
      <c r="BZ50" s="529"/>
      <c r="CA50" s="529"/>
      <c r="CB50" s="529"/>
      <c r="CC50" s="529"/>
      <c r="CD50" s="529"/>
      <c r="CE50" s="530"/>
      <c r="CF50" s="531"/>
      <c r="CG50" s="529"/>
      <c r="CH50" s="529"/>
      <c r="CI50" s="529"/>
      <c r="CJ50" s="529"/>
      <c r="CK50" s="529"/>
      <c r="CL50" s="529"/>
      <c r="CM50" s="529"/>
      <c r="CN50" s="529"/>
      <c r="CO50" s="529"/>
      <c r="CP50" s="529"/>
      <c r="CQ50" s="529"/>
      <c r="CR50" s="530"/>
      <c r="CS50" s="531"/>
      <c r="CT50" s="529"/>
      <c r="CU50" s="529"/>
      <c r="CV50" s="529"/>
      <c r="CW50" s="529"/>
      <c r="CX50" s="529"/>
      <c r="CY50" s="529"/>
      <c r="CZ50" s="529"/>
      <c r="DA50" s="529"/>
      <c r="DB50" s="529"/>
      <c r="DC50" s="529"/>
      <c r="DD50" s="529"/>
      <c r="DE50" s="530"/>
      <c r="DF50" s="536"/>
      <c r="DG50" s="537"/>
      <c r="DH50" s="537"/>
      <c r="DI50" s="537"/>
      <c r="DJ50" s="537"/>
      <c r="DK50" s="537"/>
      <c r="DL50" s="537"/>
      <c r="DM50" s="537"/>
      <c r="DN50" s="537"/>
      <c r="DO50" s="537"/>
      <c r="DP50" s="537"/>
      <c r="DQ50" s="537"/>
      <c r="DR50" s="538"/>
      <c r="DS50" s="536"/>
      <c r="DT50" s="537"/>
      <c r="DU50" s="537"/>
      <c r="DV50" s="537"/>
      <c r="DW50" s="537"/>
      <c r="DX50" s="537"/>
      <c r="DY50" s="537"/>
      <c r="DZ50" s="537"/>
      <c r="EA50" s="537"/>
      <c r="EB50" s="537"/>
      <c r="EC50" s="537"/>
      <c r="ED50" s="537"/>
      <c r="EE50" s="538"/>
      <c r="EF50" s="536"/>
      <c r="EG50" s="537"/>
      <c r="EH50" s="537"/>
      <c r="EI50" s="537"/>
      <c r="EJ50" s="537"/>
      <c r="EK50" s="537"/>
      <c r="EL50" s="537"/>
      <c r="EM50" s="537"/>
      <c r="EN50" s="537"/>
      <c r="EO50" s="537"/>
      <c r="EP50" s="537"/>
      <c r="EQ50" s="537"/>
      <c r="ER50" s="538"/>
      <c r="ES50" s="522"/>
      <c r="ET50" s="523"/>
      <c r="EU50" s="523"/>
      <c r="EV50" s="523"/>
      <c r="EW50" s="523"/>
      <c r="EX50" s="523"/>
      <c r="EY50" s="523"/>
      <c r="EZ50" s="523"/>
      <c r="FA50" s="523"/>
      <c r="FB50" s="523"/>
      <c r="FC50" s="523"/>
      <c r="FD50" s="523"/>
      <c r="FE50" s="525"/>
      <c r="FF50" s="140"/>
      <c r="FG50" s="666"/>
    </row>
    <row r="51" spans="1:163" ht="10.5" customHeight="1">
      <c r="A51" s="493" t="s">
        <v>67</v>
      </c>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28" t="s">
        <v>68</v>
      </c>
      <c r="BY51" s="429"/>
      <c r="BZ51" s="429"/>
      <c r="CA51" s="429"/>
      <c r="CB51" s="429"/>
      <c r="CC51" s="429"/>
      <c r="CD51" s="429"/>
      <c r="CE51" s="430"/>
      <c r="CF51" s="431" t="s">
        <v>62</v>
      </c>
      <c r="CG51" s="429"/>
      <c r="CH51" s="429"/>
      <c r="CI51" s="429"/>
      <c r="CJ51" s="429"/>
      <c r="CK51" s="429"/>
      <c r="CL51" s="429"/>
      <c r="CM51" s="429"/>
      <c r="CN51" s="429"/>
      <c r="CO51" s="429"/>
      <c r="CP51" s="429"/>
      <c r="CQ51" s="429"/>
      <c r="CR51" s="430"/>
      <c r="CS51" s="431"/>
      <c r="CT51" s="429"/>
      <c r="CU51" s="429"/>
      <c r="CV51" s="429"/>
      <c r="CW51" s="429"/>
      <c r="CX51" s="429"/>
      <c r="CY51" s="429"/>
      <c r="CZ51" s="429"/>
      <c r="DA51" s="429"/>
      <c r="DB51" s="429"/>
      <c r="DC51" s="429"/>
      <c r="DD51" s="429"/>
      <c r="DE51" s="430"/>
      <c r="DF51" s="413"/>
      <c r="DG51" s="414"/>
      <c r="DH51" s="414"/>
      <c r="DI51" s="414"/>
      <c r="DJ51" s="414"/>
      <c r="DK51" s="414"/>
      <c r="DL51" s="414"/>
      <c r="DM51" s="414"/>
      <c r="DN51" s="414"/>
      <c r="DO51" s="414"/>
      <c r="DP51" s="414"/>
      <c r="DQ51" s="414"/>
      <c r="DR51" s="450"/>
      <c r="DS51" s="413"/>
      <c r="DT51" s="414"/>
      <c r="DU51" s="414"/>
      <c r="DV51" s="414"/>
      <c r="DW51" s="414"/>
      <c r="DX51" s="414"/>
      <c r="DY51" s="414"/>
      <c r="DZ51" s="414"/>
      <c r="EA51" s="414"/>
      <c r="EB51" s="414"/>
      <c r="EC51" s="414"/>
      <c r="ED51" s="414"/>
      <c r="EE51" s="450"/>
      <c r="EF51" s="413"/>
      <c r="EG51" s="414"/>
      <c r="EH51" s="414"/>
      <c r="EI51" s="414"/>
      <c r="EJ51" s="414"/>
      <c r="EK51" s="414"/>
      <c r="EL51" s="414"/>
      <c r="EM51" s="414"/>
      <c r="EN51" s="414"/>
      <c r="EO51" s="414"/>
      <c r="EP51" s="414"/>
      <c r="EQ51" s="414"/>
      <c r="ER51" s="450"/>
      <c r="ES51" s="413"/>
      <c r="ET51" s="414"/>
      <c r="EU51" s="414"/>
      <c r="EV51" s="414"/>
      <c r="EW51" s="414"/>
      <c r="EX51" s="414"/>
      <c r="EY51" s="414"/>
      <c r="EZ51" s="414"/>
      <c r="FA51" s="414"/>
      <c r="FB51" s="414"/>
      <c r="FC51" s="414"/>
      <c r="FD51" s="414"/>
      <c r="FE51" s="415"/>
      <c r="FF51" s="140"/>
      <c r="FG51" s="269"/>
    </row>
    <row r="52" spans="1:163" ht="10.5" customHeight="1">
      <c r="A52" s="493"/>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28"/>
      <c r="BY52" s="429"/>
      <c r="BZ52" s="429"/>
      <c r="CA52" s="429"/>
      <c r="CB52" s="429"/>
      <c r="CC52" s="429"/>
      <c r="CD52" s="429"/>
      <c r="CE52" s="430"/>
      <c r="CF52" s="431"/>
      <c r="CG52" s="429"/>
      <c r="CH52" s="429"/>
      <c r="CI52" s="429"/>
      <c r="CJ52" s="429"/>
      <c r="CK52" s="429"/>
      <c r="CL52" s="429"/>
      <c r="CM52" s="429"/>
      <c r="CN52" s="429"/>
      <c r="CO52" s="429"/>
      <c r="CP52" s="429"/>
      <c r="CQ52" s="429"/>
      <c r="CR52" s="430"/>
      <c r="CS52" s="431"/>
      <c r="CT52" s="429"/>
      <c r="CU52" s="429"/>
      <c r="CV52" s="429"/>
      <c r="CW52" s="429"/>
      <c r="CX52" s="429"/>
      <c r="CY52" s="429"/>
      <c r="CZ52" s="429"/>
      <c r="DA52" s="429"/>
      <c r="DB52" s="429"/>
      <c r="DC52" s="429"/>
      <c r="DD52" s="429"/>
      <c r="DE52" s="430"/>
      <c r="DF52" s="413"/>
      <c r="DG52" s="414"/>
      <c r="DH52" s="414"/>
      <c r="DI52" s="414"/>
      <c r="DJ52" s="414"/>
      <c r="DK52" s="414"/>
      <c r="DL52" s="414"/>
      <c r="DM52" s="414"/>
      <c r="DN52" s="414"/>
      <c r="DO52" s="414"/>
      <c r="DP52" s="414"/>
      <c r="DQ52" s="414"/>
      <c r="DR52" s="450"/>
      <c r="DS52" s="413"/>
      <c r="DT52" s="414"/>
      <c r="DU52" s="414"/>
      <c r="DV52" s="414"/>
      <c r="DW52" s="414"/>
      <c r="DX52" s="414"/>
      <c r="DY52" s="414"/>
      <c r="DZ52" s="414"/>
      <c r="EA52" s="414"/>
      <c r="EB52" s="414"/>
      <c r="EC52" s="414"/>
      <c r="ED52" s="414"/>
      <c r="EE52" s="450"/>
      <c r="EF52" s="413"/>
      <c r="EG52" s="414"/>
      <c r="EH52" s="414"/>
      <c r="EI52" s="414"/>
      <c r="EJ52" s="414"/>
      <c r="EK52" s="414"/>
      <c r="EL52" s="414"/>
      <c r="EM52" s="414"/>
      <c r="EN52" s="414"/>
      <c r="EO52" s="414"/>
      <c r="EP52" s="414"/>
      <c r="EQ52" s="414"/>
      <c r="ER52" s="450"/>
      <c r="ES52" s="413"/>
      <c r="ET52" s="414"/>
      <c r="EU52" s="414"/>
      <c r="EV52" s="414"/>
      <c r="EW52" s="414"/>
      <c r="EX52" s="414"/>
      <c r="EY52" s="414"/>
      <c r="EZ52" s="414"/>
      <c r="FA52" s="414"/>
      <c r="FB52" s="414"/>
      <c r="FC52" s="414"/>
      <c r="FD52" s="414"/>
      <c r="FE52" s="415"/>
      <c r="FF52" s="140"/>
      <c r="FG52" s="269"/>
    </row>
    <row r="53" spans="1:163" ht="10.5" customHeight="1">
      <c r="A53" s="520" t="s">
        <v>69</v>
      </c>
      <c r="B53" s="521"/>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c r="AT53" s="521"/>
      <c r="AU53" s="521"/>
      <c r="AV53" s="521"/>
      <c r="AW53" s="521"/>
      <c r="AX53" s="521"/>
      <c r="AY53" s="521"/>
      <c r="AZ53" s="521"/>
      <c r="BA53" s="521"/>
      <c r="BB53" s="521"/>
      <c r="BC53" s="521"/>
      <c r="BD53" s="521"/>
      <c r="BE53" s="521"/>
      <c r="BF53" s="521"/>
      <c r="BG53" s="521"/>
      <c r="BH53" s="521"/>
      <c r="BI53" s="521"/>
      <c r="BJ53" s="521"/>
      <c r="BK53" s="521"/>
      <c r="BL53" s="521"/>
      <c r="BM53" s="521"/>
      <c r="BN53" s="521"/>
      <c r="BO53" s="521"/>
      <c r="BP53" s="521"/>
      <c r="BQ53" s="521"/>
      <c r="BR53" s="521"/>
      <c r="BS53" s="521"/>
      <c r="BT53" s="521"/>
      <c r="BU53" s="521"/>
      <c r="BV53" s="521"/>
      <c r="BW53" s="521"/>
      <c r="BX53" s="428" t="s">
        <v>70</v>
      </c>
      <c r="BY53" s="429"/>
      <c r="BZ53" s="429"/>
      <c r="CA53" s="429"/>
      <c r="CB53" s="429"/>
      <c r="CC53" s="429"/>
      <c r="CD53" s="429"/>
      <c r="CE53" s="430"/>
      <c r="CF53" s="431"/>
      <c r="CG53" s="429"/>
      <c r="CH53" s="429"/>
      <c r="CI53" s="429"/>
      <c r="CJ53" s="429"/>
      <c r="CK53" s="429"/>
      <c r="CL53" s="429"/>
      <c r="CM53" s="429"/>
      <c r="CN53" s="429"/>
      <c r="CO53" s="429"/>
      <c r="CP53" s="429"/>
      <c r="CQ53" s="429"/>
      <c r="CR53" s="430"/>
      <c r="CS53" s="431"/>
      <c r="CT53" s="429"/>
      <c r="CU53" s="429"/>
      <c r="CV53" s="429"/>
      <c r="CW53" s="429"/>
      <c r="CX53" s="429"/>
      <c r="CY53" s="429"/>
      <c r="CZ53" s="429"/>
      <c r="DA53" s="429"/>
      <c r="DB53" s="429"/>
      <c r="DC53" s="429"/>
      <c r="DD53" s="429"/>
      <c r="DE53" s="430"/>
      <c r="DF53" s="413"/>
      <c r="DG53" s="414"/>
      <c r="DH53" s="414"/>
      <c r="DI53" s="414"/>
      <c r="DJ53" s="414"/>
      <c r="DK53" s="414"/>
      <c r="DL53" s="414"/>
      <c r="DM53" s="414"/>
      <c r="DN53" s="414"/>
      <c r="DO53" s="414"/>
      <c r="DP53" s="414"/>
      <c r="DQ53" s="414"/>
      <c r="DR53" s="450"/>
      <c r="DS53" s="413"/>
      <c r="DT53" s="414"/>
      <c r="DU53" s="414"/>
      <c r="DV53" s="414"/>
      <c r="DW53" s="414"/>
      <c r="DX53" s="414"/>
      <c r="DY53" s="414"/>
      <c r="DZ53" s="414"/>
      <c r="EA53" s="414"/>
      <c r="EB53" s="414"/>
      <c r="EC53" s="414"/>
      <c r="ED53" s="414"/>
      <c r="EE53" s="450"/>
      <c r="EF53" s="413"/>
      <c r="EG53" s="414"/>
      <c r="EH53" s="414"/>
      <c r="EI53" s="414"/>
      <c r="EJ53" s="414"/>
      <c r="EK53" s="414"/>
      <c r="EL53" s="414"/>
      <c r="EM53" s="414"/>
      <c r="EN53" s="414"/>
      <c r="EO53" s="414"/>
      <c r="EP53" s="414"/>
      <c r="EQ53" s="414"/>
      <c r="ER53" s="450"/>
      <c r="ES53" s="413"/>
      <c r="ET53" s="414"/>
      <c r="EU53" s="414"/>
      <c r="EV53" s="414"/>
      <c r="EW53" s="414"/>
      <c r="EX53" s="414"/>
      <c r="EY53" s="414"/>
      <c r="EZ53" s="414"/>
      <c r="FA53" s="414"/>
      <c r="FB53" s="414"/>
      <c r="FC53" s="414"/>
      <c r="FD53" s="414"/>
      <c r="FE53" s="415"/>
      <c r="FF53" s="140"/>
      <c r="FG53" s="269"/>
    </row>
    <row r="54" spans="1:163" ht="10.5" customHeight="1">
      <c r="A54" s="526" t="s">
        <v>50</v>
      </c>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7"/>
      <c r="BN54" s="527"/>
      <c r="BO54" s="527"/>
      <c r="BP54" s="527"/>
      <c r="BQ54" s="527"/>
      <c r="BR54" s="527"/>
      <c r="BS54" s="527"/>
      <c r="BT54" s="527"/>
      <c r="BU54" s="527"/>
      <c r="BV54" s="527"/>
      <c r="BW54" s="527"/>
      <c r="BX54" s="473"/>
      <c r="BY54" s="474"/>
      <c r="BZ54" s="474"/>
      <c r="CA54" s="474"/>
      <c r="CB54" s="474"/>
      <c r="CC54" s="474"/>
      <c r="CD54" s="474"/>
      <c r="CE54" s="475"/>
      <c r="CF54" s="476"/>
      <c r="CG54" s="474"/>
      <c r="CH54" s="474"/>
      <c r="CI54" s="474"/>
      <c r="CJ54" s="474"/>
      <c r="CK54" s="474"/>
      <c r="CL54" s="474"/>
      <c r="CM54" s="474"/>
      <c r="CN54" s="474"/>
      <c r="CO54" s="474"/>
      <c r="CP54" s="474"/>
      <c r="CQ54" s="474"/>
      <c r="CR54" s="475"/>
      <c r="CS54" s="476"/>
      <c r="CT54" s="474"/>
      <c r="CU54" s="474"/>
      <c r="CV54" s="474"/>
      <c r="CW54" s="474"/>
      <c r="CX54" s="474"/>
      <c r="CY54" s="474"/>
      <c r="CZ54" s="474"/>
      <c r="DA54" s="474"/>
      <c r="DB54" s="474"/>
      <c r="DC54" s="474"/>
      <c r="DD54" s="474"/>
      <c r="DE54" s="475"/>
      <c r="DF54" s="422"/>
      <c r="DG54" s="423"/>
      <c r="DH54" s="423"/>
      <c r="DI54" s="423"/>
      <c r="DJ54" s="423"/>
      <c r="DK54" s="423"/>
      <c r="DL54" s="423"/>
      <c r="DM54" s="423"/>
      <c r="DN54" s="423"/>
      <c r="DO54" s="423"/>
      <c r="DP54" s="423"/>
      <c r="DQ54" s="423"/>
      <c r="DR54" s="424"/>
      <c r="DS54" s="422"/>
      <c r="DT54" s="423"/>
      <c r="DU54" s="423"/>
      <c r="DV54" s="423"/>
      <c r="DW54" s="423"/>
      <c r="DX54" s="423"/>
      <c r="DY54" s="423"/>
      <c r="DZ54" s="423"/>
      <c r="EA54" s="423"/>
      <c r="EB54" s="423"/>
      <c r="EC54" s="423"/>
      <c r="ED54" s="423"/>
      <c r="EE54" s="424"/>
      <c r="EF54" s="422"/>
      <c r="EG54" s="423"/>
      <c r="EH54" s="423"/>
      <c r="EI54" s="423"/>
      <c r="EJ54" s="423"/>
      <c r="EK54" s="423"/>
      <c r="EL54" s="423"/>
      <c r="EM54" s="423"/>
      <c r="EN54" s="423"/>
      <c r="EO54" s="423"/>
      <c r="EP54" s="423"/>
      <c r="EQ54" s="423"/>
      <c r="ER54" s="424"/>
      <c r="ES54" s="422"/>
      <c r="ET54" s="423"/>
      <c r="EU54" s="423"/>
      <c r="EV54" s="423"/>
      <c r="EW54" s="423"/>
      <c r="EX54" s="423"/>
      <c r="EY54" s="423"/>
      <c r="EZ54" s="423"/>
      <c r="FA54" s="423"/>
      <c r="FB54" s="423"/>
      <c r="FC54" s="423"/>
      <c r="FD54" s="423"/>
      <c r="FE54" s="425"/>
      <c r="FF54" s="140"/>
      <c r="FG54" s="269"/>
    </row>
    <row r="55" spans="1:163" ht="10.5" customHeight="1">
      <c r="A55" s="532"/>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W55" s="494"/>
      <c r="BX55" s="528"/>
      <c r="BY55" s="529"/>
      <c r="BZ55" s="529"/>
      <c r="CA55" s="529"/>
      <c r="CB55" s="529"/>
      <c r="CC55" s="529"/>
      <c r="CD55" s="529"/>
      <c r="CE55" s="530"/>
      <c r="CF55" s="531"/>
      <c r="CG55" s="529"/>
      <c r="CH55" s="529"/>
      <c r="CI55" s="529"/>
      <c r="CJ55" s="529"/>
      <c r="CK55" s="529"/>
      <c r="CL55" s="529"/>
      <c r="CM55" s="529"/>
      <c r="CN55" s="529"/>
      <c r="CO55" s="529"/>
      <c r="CP55" s="529"/>
      <c r="CQ55" s="529"/>
      <c r="CR55" s="530"/>
      <c r="CS55" s="531"/>
      <c r="CT55" s="529"/>
      <c r="CU55" s="529"/>
      <c r="CV55" s="529"/>
      <c r="CW55" s="529"/>
      <c r="CX55" s="529"/>
      <c r="CY55" s="529"/>
      <c r="CZ55" s="529"/>
      <c r="DA55" s="529"/>
      <c r="DB55" s="529"/>
      <c r="DC55" s="529"/>
      <c r="DD55" s="529"/>
      <c r="DE55" s="530"/>
      <c r="DF55" s="522"/>
      <c r="DG55" s="523"/>
      <c r="DH55" s="523"/>
      <c r="DI55" s="523"/>
      <c r="DJ55" s="523"/>
      <c r="DK55" s="523"/>
      <c r="DL55" s="523"/>
      <c r="DM55" s="523"/>
      <c r="DN55" s="523"/>
      <c r="DO55" s="523"/>
      <c r="DP55" s="523"/>
      <c r="DQ55" s="523"/>
      <c r="DR55" s="524"/>
      <c r="DS55" s="522"/>
      <c r="DT55" s="523"/>
      <c r="DU55" s="523"/>
      <c r="DV55" s="523"/>
      <c r="DW55" s="523"/>
      <c r="DX55" s="523"/>
      <c r="DY55" s="523"/>
      <c r="DZ55" s="523"/>
      <c r="EA55" s="523"/>
      <c r="EB55" s="523"/>
      <c r="EC55" s="523"/>
      <c r="ED55" s="523"/>
      <c r="EE55" s="524"/>
      <c r="EF55" s="522"/>
      <c r="EG55" s="523"/>
      <c r="EH55" s="523"/>
      <c r="EI55" s="523"/>
      <c r="EJ55" s="523"/>
      <c r="EK55" s="523"/>
      <c r="EL55" s="523"/>
      <c r="EM55" s="523"/>
      <c r="EN55" s="523"/>
      <c r="EO55" s="523"/>
      <c r="EP55" s="523"/>
      <c r="EQ55" s="523"/>
      <c r="ER55" s="524"/>
      <c r="ES55" s="522"/>
      <c r="ET55" s="523"/>
      <c r="EU55" s="523"/>
      <c r="EV55" s="523"/>
      <c r="EW55" s="523"/>
      <c r="EX55" s="523"/>
      <c r="EY55" s="523"/>
      <c r="EZ55" s="523"/>
      <c r="FA55" s="523"/>
      <c r="FB55" s="523"/>
      <c r="FC55" s="523"/>
      <c r="FD55" s="523"/>
      <c r="FE55" s="525"/>
      <c r="FF55" s="140"/>
      <c r="FG55" s="269"/>
    </row>
    <row r="56" spans="1:163" ht="10.5" customHeight="1">
      <c r="A56" s="493"/>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4"/>
      <c r="BN56" s="494"/>
      <c r="BO56" s="494"/>
      <c r="BP56" s="494"/>
      <c r="BQ56" s="494"/>
      <c r="BR56" s="494"/>
      <c r="BS56" s="494"/>
      <c r="BT56" s="494"/>
      <c r="BU56" s="494"/>
      <c r="BV56" s="494"/>
      <c r="BW56" s="494"/>
      <c r="BX56" s="428"/>
      <c r="BY56" s="429"/>
      <c r="BZ56" s="429"/>
      <c r="CA56" s="429"/>
      <c r="CB56" s="429"/>
      <c r="CC56" s="429"/>
      <c r="CD56" s="429"/>
      <c r="CE56" s="430"/>
      <c r="CF56" s="431"/>
      <c r="CG56" s="429"/>
      <c r="CH56" s="429"/>
      <c r="CI56" s="429"/>
      <c r="CJ56" s="429"/>
      <c r="CK56" s="429"/>
      <c r="CL56" s="429"/>
      <c r="CM56" s="429"/>
      <c r="CN56" s="429"/>
      <c r="CO56" s="429"/>
      <c r="CP56" s="429"/>
      <c r="CQ56" s="429"/>
      <c r="CR56" s="430"/>
      <c r="CS56" s="431"/>
      <c r="CT56" s="429"/>
      <c r="CU56" s="429"/>
      <c r="CV56" s="429"/>
      <c r="CW56" s="429"/>
      <c r="CX56" s="429"/>
      <c r="CY56" s="429"/>
      <c r="CZ56" s="429"/>
      <c r="DA56" s="429"/>
      <c r="DB56" s="429"/>
      <c r="DC56" s="429"/>
      <c r="DD56" s="429"/>
      <c r="DE56" s="430"/>
      <c r="DF56" s="413"/>
      <c r="DG56" s="414"/>
      <c r="DH56" s="414"/>
      <c r="DI56" s="414"/>
      <c r="DJ56" s="414"/>
      <c r="DK56" s="414"/>
      <c r="DL56" s="414"/>
      <c r="DM56" s="414"/>
      <c r="DN56" s="414"/>
      <c r="DO56" s="414"/>
      <c r="DP56" s="414"/>
      <c r="DQ56" s="414"/>
      <c r="DR56" s="450"/>
      <c r="DS56" s="413"/>
      <c r="DT56" s="414"/>
      <c r="DU56" s="414"/>
      <c r="DV56" s="414"/>
      <c r="DW56" s="414"/>
      <c r="DX56" s="414"/>
      <c r="DY56" s="414"/>
      <c r="DZ56" s="414"/>
      <c r="EA56" s="414"/>
      <c r="EB56" s="414"/>
      <c r="EC56" s="414"/>
      <c r="ED56" s="414"/>
      <c r="EE56" s="450"/>
      <c r="EF56" s="413"/>
      <c r="EG56" s="414"/>
      <c r="EH56" s="414"/>
      <c r="EI56" s="414"/>
      <c r="EJ56" s="414"/>
      <c r="EK56" s="414"/>
      <c r="EL56" s="414"/>
      <c r="EM56" s="414"/>
      <c r="EN56" s="414"/>
      <c r="EO56" s="414"/>
      <c r="EP56" s="414"/>
      <c r="EQ56" s="414"/>
      <c r="ER56" s="450"/>
      <c r="ES56" s="413"/>
      <c r="ET56" s="414"/>
      <c r="EU56" s="414"/>
      <c r="EV56" s="414"/>
      <c r="EW56" s="414"/>
      <c r="EX56" s="414"/>
      <c r="EY56" s="414"/>
      <c r="EZ56" s="414"/>
      <c r="FA56" s="414"/>
      <c r="FB56" s="414"/>
      <c r="FC56" s="414"/>
      <c r="FD56" s="414"/>
      <c r="FE56" s="415"/>
      <c r="FF56" s="140"/>
      <c r="FG56" s="269"/>
    </row>
    <row r="57" spans="1:163" ht="12.75" customHeight="1">
      <c r="A57" s="520" t="s">
        <v>71</v>
      </c>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521"/>
      <c r="BA57" s="521"/>
      <c r="BB57" s="521"/>
      <c r="BC57" s="521"/>
      <c r="BD57" s="521"/>
      <c r="BE57" s="521"/>
      <c r="BF57" s="521"/>
      <c r="BG57" s="521"/>
      <c r="BH57" s="521"/>
      <c r="BI57" s="521"/>
      <c r="BJ57" s="521"/>
      <c r="BK57" s="521"/>
      <c r="BL57" s="521"/>
      <c r="BM57" s="521"/>
      <c r="BN57" s="521"/>
      <c r="BO57" s="521"/>
      <c r="BP57" s="521"/>
      <c r="BQ57" s="521"/>
      <c r="BR57" s="521"/>
      <c r="BS57" s="521"/>
      <c r="BT57" s="521"/>
      <c r="BU57" s="521"/>
      <c r="BV57" s="521"/>
      <c r="BW57" s="521"/>
      <c r="BX57" s="428" t="s">
        <v>72</v>
      </c>
      <c r="BY57" s="429"/>
      <c r="BZ57" s="429"/>
      <c r="CA57" s="429"/>
      <c r="CB57" s="429"/>
      <c r="CC57" s="429"/>
      <c r="CD57" s="429"/>
      <c r="CE57" s="430"/>
      <c r="CF57" s="431" t="s">
        <v>43</v>
      </c>
      <c r="CG57" s="429"/>
      <c r="CH57" s="429"/>
      <c r="CI57" s="429"/>
      <c r="CJ57" s="429"/>
      <c r="CK57" s="429"/>
      <c r="CL57" s="429"/>
      <c r="CM57" s="429"/>
      <c r="CN57" s="429"/>
      <c r="CO57" s="429"/>
      <c r="CP57" s="429"/>
      <c r="CQ57" s="429"/>
      <c r="CR57" s="430"/>
      <c r="CS57" s="431"/>
      <c r="CT57" s="429"/>
      <c r="CU57" s="429"/>
      <c r="CV57" s="429"/>
      <c r="CW57" s="429"/>
      <c r="CX57" s="429"/>
      <c r="CY57" s="429"/>
      <c r="CZ57" s="429"/>
      <c r="DA57" s="429"/>
      <c r="DB57" s="429"/>
      <c r="DC57" s="429"/>
      <c r="DD57" s="429"/>
      <c r="DE57" s="430"/>
      <c r="DF57" s="413"/>
      <c r="DG57" s="414"/>
      <c r="DH57" s="414"/>
      <c r="DI57" s="414"/>
      <c r="DJ57" s="414"/>
      <c r="DK57" s="414"/>
      <c r="DL57" s="414"/>
      <c r="DM57" s="414"/>
      <c r="DN57" s="414"/>
      <c r="DO57" s="414"/>
      <c r="DP57" s="414"/>
      <c r="DQ57" s="414"/>
      <c r="DR57" s="450"/>
      <c r="DS57" s="413"/>
      <c r="DT57" s="414"/>
      <c r="DU57" s="414"/>
      <c r="DV57" s="414"/>
      <c r="DW57" s="414"/>
      <c r="DX57" s="414"/>
      <c r="DY57" s="414"/>
      <c r="DZ57" s="414"/>
      <c r="EA57" s="414"/>
      <c r="EB57" s="414"/>
      <c r="EC57" s="414"/>
      <c r="ED57" s="414"/>
      <c r="EE57" s="450"/>
      <c r="EF57" s="413"/>
      <c r="EG57" s="414"/>
      <c r="EH57" s="414"/>
      <c r="EI57" s="414"/>
      <c r="EJ57" s="414"/>
      <c r="EK57" s="414"/>
      <c r="EL57" s="414"/>
      <c r="EM57" s="414"/>
      <c r="EN57" s="414"/>
      <c r="EO57" s="414"/>
      <c r="EP57" s="414"/>
      <c r="EQ57" s="414"/>
      <c r="ER57" s="450"/>
      <c r="ES57" s="413"/>
      <c r="ET57" s="414"/>
      <c r="EU57" s="414"/>
      <c r="EV57" s="414"/>
      <c r="EW57" s="414"/>
      <c r="EX57" s="414"/>
      <c r="EY57" s="414"/>
      <c r="EZ57" s="414"/>
      <c r="FA57" s="414"/>
      <c r="FB57" s="414"/>
      <c r="FC57" s="414"/>
      <c r="FD57" s="414"/>
      <c r="FE57" s="415"/>
      <c r="FF57" s="140"/>
      <c r="FG57" s="269"/>
    </row>
    <row r="58" spans="1:163" ht="33.75" customHeight="1">
      <c r="A58" s="465" t="s">
        <v>73</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28" t="s">
        <v>74</v>
      </c>
      <c r="BY58" s="429"/>
      <c r="BZ58" s="429"/>
      <c r="CA58" s="429"/>
      <c r="CB58" s="429"/>
      <c r="CC58" s="429"/>
      <c r="CD58" s="429"/>
      <c r="CE58" s="430"/>
      <c r="CF58" s="431" t="s">
        <v>75</v>
      </c>
      <c r="CG58" s="429"/>
      <c r="CH58" s="429"/>
      <c r="CI58" s="429"/>
      <c r="CJ58" s="429"/>
      <c r="CK58" s="429"/>
      <c r="CL58" s="429"/>
      <c r="CM58" s="429"/>
      <c r="CN58" s="429"/>
      <c r="CO58" s="429"/>
      <c r="CP58" s="429"/>
      <c r="CQ58" s="429"/>
      <c r="CR58" s="430"/>
      <c r="CS58" s="431"/>
      <c r="CT58" s="429"/>
      <c r="CU58" s="429"/>
      <c r="CV58" s="429"/>
      <c r="CW58" s="429"/>
      <c r="CX58" s="429"/>
      <c r="CY58" s="429"/>
      <c r="CZ58" s="429"/>
      <c r="DA58" s="429"/>
      <c r="DB58" s="429"/>
      <c r="DC58" s="429"/>
      <c r="DD58" s="429"/>
      <c r="DE58" s="430"/>
      <c r="DF58" s="413"/>
      <c r="DG58" s="414"/>
      <c r="DH58" s="414"/>
      <c r="DI58" s="414"/>
      <c r="DJ58" s="414"/>
      <c r="DK58" s="414"/>
      <c r="DL58" s="414"/>
      <c r="DM58" s="414"/>
      <c r="DN58" s="414"/>
      <c r="DO58" s="414"/>
      <c r="DP58" s="414"/>
      <c r="DQ58" s="414"/>
      <c r="DR58" s="450"/>
      <c r="DS58" s="413"/>
      <c r="DT58" s="414"/>
      <c r="DU58" s="414"/>
      <c r="DV58" s="414"/>
      <c r="DW58" s="414"/>
      <c r="DX58" s="414"/>
      <c r="DY58" s="414"/>
      <c r="DZ58" s="414"/>
      <c r="EA58" s="414"/>
      <c r="EB58" s="414"/>
      <c r="EC58" s="414"/>
      <c r="ED58" s="414"/>
      <c r="EE58" s="450"/>
      <c r="EF58" s="413"/>
      <c r="EG58" s="414"/>
      <c r="EH58" s="414"/>
      <c r="EI58" s="414"/>
      <c r="EJ58" s="414"/>
      <c r="EK58" s="414"/>
      <c r="EL58" s="414"/>
      <c r="EM58" s="414"/>
      <c r="EN58" s="414"/>
      <c r="EO58" s="414"/>
      <c r="EP58" s="414"/>
      <c r="EQ58" s="414"/>
      <c r="ER58" s="450"/>
      <c r="ES58" s="413" t="s">
        <v>43</v>
      </c>
      <c r="ET58" s="414"/>
      <c r="EU58" s="414"/>
      <c r="EV58" s="414"/>
      <c r="EW58" s="414"/>
      <c r="EX58" s="414"/>
      <c r="EY58" s="414"/>
      <c r="EZ58" s="414"/>
      <c r="FA58" s="414"/>
      <c r="FB58" s="414"/>
      <c r="FC58" s="414"/>
      <c r="FD58" s="414"/>
      <c r="FE58" s="415"/>
      <c r="FF58" s="140"/>
      <c r="FG58" s="269"/>
    </row>
    <row r="59" spans="1:163" ht="10.5" customHeight="1">
      <c r="A59" s="493"/>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428"/>
      <c r="BY59" s="429"/>
      <c r="BZ59" s="429"/>
      <c r="CA59" s="429"/>
      <c r="CB59" s="429"/>
      <c r="CC59" s="429"/>
      <c r="CD59" s="429"/>
      <c r="CE59" s="430"/>
      <c r="CF59" s="431"/>
      <c r="CG59" s="429"/>
      <c r="CH59" s="429"/>
      <c r="CI59" s="429"/>
      <c r="CJ59" s="429"/>
      <c r="CK59" s="429"/>
      <c r="CL59" s="429"/>
      <c r="CM59" s="429"/>
      <c r="CN59" s="429"/>
      <c r="CO59" s="429"/>
      <c r="CP59" s="429"/>
      <c r="CQ59" s="429"/>
      <c r="CR59" s="430"/>
      <c r="CS59" s="431"/>
      <c r="CT59" s="429"/>
      <c r="CU59" s="429"/>
      <c r="CV59" s="429"/>
      <c r="CW59" s="429"/>
      <c r="CX59" s="429"/>
      <c r="CY59" s="429"/>
      <c r="CZ59" s="429"/>
      <c r="DA59" s="429"/>
      <c r="DB59" s="429"/>
      <c r="DC59" s="429"/>
      <c r="DD59" s="429"/>
      <c r="DE59" s="430"/>
      <c r="DF59" s="413"/>
      <c r="DG59" s="414"/>
      <c r="DH59" s="414"/>
      <c r="DI59" s="414"/>
      <c r="DJ59" s="414"/>
      <c r="DK59" s="414"/>
      <c r="DL59" s="414"/>
      <c r="DM59" s="414"/>
      <c r="DN59" s="414"/>
      <c r="DO59" s="414"/>
      <c r="DP59" s="414"/>
      <c r="DQ59" s="414"/>
      <c r="DR59" s="450"/>
      <c r="DS59" s="413"/>
      <c r="DT59" s="414"/>
      <c r="DU59" s="414"/>
      <c r="DV59" s="414"/>
      <c r="DW59" s="414"/>
      <c r="DX59" s="414"/>
      <c r="DY59" s="414"/>
      <c r="DZ59" s="414"/>
      <c r="EA59" s="414"/>
      <c r="EB59" s="414"/>
      <c r="EC59" s="414"/>
      <c r="ED59" s="414"/>
      <c r="EE59" s="450"/>
      <c r="EF59" s="413"/>
      <c r="EG59" s="414"/>
      <c r="EH59" s="414"/>
      <c r="EI59" s="414"/>
      <c r="EJ59" s="414"/>
      <c r="EK59" s="414"/>
      <c r="EL59" s="414"/>
      <c r="EM59" s="414"/>
      <c r="EN59" s="414"/>
      <c r="EO59" s="414"/>
      <c r="EP59" s="414"/>
      <c r="EQ59" s="414"/>
      <c r="ER59" s="450"/>
      <c r="ES59" s="413"/>
      <c r="ET59" s="414"/>
      <c r="EU59" s="414"/>
      <c r="EV59" s="414"/>
      <c r="EW59" s="414"/>
      <c r="EX59" s="414"/>
      <c r="EY59" s="414"/>
      <c r="EZ59" s="414"/>
      <c r="FA59" s="414"/>
      <c r="FB59" s="414"/>
      <c r="FC59" s="414"/>
      <c r="FD59" s="414"/>
      <c r="FE59" s="415"/>
      <c r="FF59" s="140"/>
      <c r="FG59" s="269"/>
    </row>
    <row r="60" spans="1:167" s="105" customFormat="1" ht="14.25" customHeight="1">
      <c r="A60" s="509" t="s">
        <v>76</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1" t="s">
        <v>77</v>
      </c>
      <c r="BY60" s="512"/>
      <c r="BZ60" s="512"/>
      <c r="CA60" s="512"/>
      <c r="CB60" s="512"/>
      <c r="CC60" s="512"/>
      <c r="CD60" s="512"/>
      <c r="CE60" s="513"/>
      <c r="CF60" s="514" t="s">
        <v>43</v>
      </c>
      <c r="CG60" s="512"/>
      <c r="CH60" s="512"/>
      <c r="CI60" s="512"/>
      <c r="CJ60" s="512"/>
      <c r="CK60" s="512"/>
      <c r="CL60" s="512"/>
      <c r="CM60" s="512"/>
      <c r="CN60" s="512"/>
      <c r="CO60" s="512"/>
      <c r="CP60" s="512"/>
      <c r="CQ60" s="512"/>
      <c r="CR60" s="513"/>
      <c r="CS60" s="514"/>
      <c r="CT60" s="512"/>
      <c r="CU60" s="512"/>
      <c r="CV60" s="512"/>
      <c r="CW60" s="512"/>
      <c r="CX60" s="512"/>
      <c r="CY60" s="512"/>
      <c r="CZ60" s="512"/>
      <c r="DA60" s="512"/>
      <c r="DB60" s="512"/>
      <c r="DC60" s="512"/>
      <c r="DD60" s="512"/>
      <c r="DE60" s="513"/>
      <c r="DF60" s="515">
        <f>DF62+DF63+DF65+DF66+DF67+DF69+DF84+DF96+DF79+DF64+DF93</f>
        <v>120195472.2631389</v>
      </c>
      <c r="DG60" s="516"/>
      <c r="DH60" s="516"/>
      <c r="DI60" s="516"/>
      <c r="DJ60" s="516"/>
      <c r="DK60" s="516"/>
      <c r="DL60" s="516"/>
      <c r="DM60" s="516"/>
      <c r="DN60" s="516"/>
      <c r="DO60" s="516"/>
      <c r="DP60" s="516"/>
      <c r="DQ60" s="516"/>
      <c r="DR60" s="517"/>
      <c r="DS60" s="515">
        <f>DS62+DS63+DS65+DS66+DS67+DS69+DS84+DS96</f>
        <v>107755539.05675025</v>
      </c>
      <c r="DT60" s="516"/>
      <c r="DU60" s="516"/>
      <c r="DV60" s="516"/>
      <c r="DW60" s="516"/>
      <c r="DX60" s="516"/>
      <c r="DY60" s="516"/>
      <c r="DZ60" s="516"/>
      <c r="EA60" s="516"/>
      <c r="EB60" s="516"/>
      <c r="EC60" s="516"/>
      <c r="ED60" s="516"/>
      <c r="EE60" s="517"/>
      <c r="EF60" s="515">
        <f>EF62+EF63+EF65+EF66+EF67+EF69+EF84+EF96</f>
        <v>109262262.05675027</v>
      </c>
      <c r="EG60" s="516"/>
      <c r="EH60" s="516"/>
      <c r="EI60" s="516"/>
      <c r="EJ60" s="516"/>
      <c r="EK60" s="516"/>
      <c r="EL60" s="516"/>
      <c r="EM60" s="516"/>
      <c r="EN60" s="516"/>
      <c r="EO60" s="516"/>
      <c r="EP60" s="516"/>
      <c r="EQ60" s="516"/>
      <c r="ER60" s="517"/>
      <c r="ES60" s="518"/>
      <c r="ET60" s="516"/>
      <c r="EU60" s="516"/>
      <c r="EV60" s="516"/>
      <c r="EW60" s="516"/>
      <c r="EX60" s="516"/>
      <c r="EY60" s="516"/>
      <c r="EZ60" s="516"/>
      <c r="FA60" s="516"/>
      <c r="FB60" s="516"/>
      <c r="FC60" s="516"/>
      <c r="FD60" s="516"/>
      <c r="FE60" s="519"/>
      <c r="FF60" s="270"/>
      <c r="FG60" s="270"/>
      <c r="FH60" s="107"/>
      <c r="FI60" s="107"/>
      <c r="FJ60" s="107"/>
      <c r="FK60" s="113"/>
    </row>
    <row r="61" spans="1:171" ht="22.5" customHeight="1">
      <c r="A61" s="444" t="s">
        <v>78</v>
      </c>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28" t="s">
        <v>79</v>
      </c>
      <c r="BY61" s="429"/>
      <c r="BZ61" s="429"/>
      <c r="CA61" s="429"/>
      <c r="CB61" s="429"/>
      <c r="CC61" s="429"/>
      <c r="CD61" s="429"/>
      <c r="CE61" s="430"/>
      <c r="CF61" s="431" t="s">
        <v>43</v>
      </c>
      <c r="CG61" s="429"/>
      <c r="CH61" s="429"/>
      <c r="CI61" s="429"/>
      <c r="CJ61" s="429"/>
      <c r="CK61" s="429"/>
      <c r="CL61" s="429"/>
      <c r="CM61" s="429"/>
      <c r="CN61" s="429"/>
      <c r="CO61" s="429"/>
      <c r="CP61" s="429"/>
      <c r="CQ61" s="429"/>
      <c r="CR61" s="430"/>
      <c r="CS61" s="431"/>
      <c r="CT61" s="429"/>
      <c r="CU61" s="429"/>
      <c r="CV61" s="429"/>
      <c r="CW61" s="429"/>
      <c r="CX61" s="429"/>
      <c r="CY61" s="429"/>
      <c r="CZ61" s="429"/>
      <c r="DA61" s="429"/>
      <c r="DB61" s="429"/>
      <c r="DC61" s="429"/>
      <c r="DD61" s="429"/>
      <c r="DE61" s="430"/>
      <c r="DF61" s="482">
        <f>DF62+DF63+DF65+DF66+DF67+DF68+DF69+DF64</f>
        <v>83851472.89999999</v>
      </c>
      <c r="DG61" s="483"/>
      <c r="DH61" s="483"/>
      <c r="DI61" s="483"/>
      <c r="DJ61" s="483"/>
      <c r="DK61" s="483"/>
      <c r="DL61" s="483"/>
      <c r="DM61" s="483"/>
      <c r="DN61" s="483"/>
      <c r="DO61" s="483"/>
      <c r="DP61" s="483"/>
      <c r="DQ61" s="483"/>
      <c r="DR61" s="484"/>
      <c r="DS61" s="477">
        <f>DS62+DS63+DS65+DS66+DS67+DS68+DS69</f>
        <v>71849218.68</v>
      </c>
      <c r="DT61" s="414"/>
      <c r="DU61" s="414"/>
      <c r="DV61" s="414"/>
      <c r="DW61" s="414"/>
      <c r="DX61" s="414"/>
      <c r="DY61" s="414"/>
      <c r="DZ61" s="414"/>
      <c r="EA61" s="414"/>
      <c r="EB61" s="414"/>
      <c r="EC61" s="414"/>
      <c r="ED61" s="414"/>
      <c r="EE61" s="450"/>
      <c r="EF61" s="477">
        <f>EF62+EF63+EF65+EF66+EF67+EF68+EF69</f>
        <v>71849218.68</v>
      </c>
      <c r="EG61" s="414"/>
      <c r="EH61" s="414"/>
      <c r="EI61" s="414"/>
      <c r="EJ61" s="414"/>
      <c r="EK61" s="414"/>
      <c r="EL61" s="414"/>
      <c r="EM61" s="414"/>
      <c r="EN61" s="414"/>
      <c r="EO61" s="414"/>
      <c r="EP61" s="414"/>
      <c r="EQ61" s="414"/>
      <c r="ER61" s="450"/>
      <c r="ES61" s="413" t="s">
        <v>43</v>
      </c>
      <c r="ET61" s="414"/>
      <c r="EU61" s="414"/>
      <c r="EV61" s="414"/>
      <c r="EW61" s="414"/>
      <c r="EX61" s="414"/>
      <c r="EY61" s="414"/>
      <c r="EZ61" s="414"/>
      <c r="FA61" s="414"/>
      <c r="FB61" s="414"/>
      <c r="FC61" s="414"/>
      <c r="FD61" s="414"/>
      <c r="FE61" s="415"/>
      <c r="FF61" s="271"/>
      <c r="FG61" s="272"/>
      <c r="FH61" s="166"/>
      <c r="FI61" s="167"/>
      <c r="FJ61" s="167"/>
      <c r="FK61" s="139"/>
      <c r="FO61" s="114"/>
    </row>
    <row r="62" spans="1:171" ht="12" customHeight="1">
      <c r="A62" s="503" t="s">
        <v>453</v>
      </c>
      <c r="B62" s="504"/>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4"/>
      <c r="AY62" s="504"/>
      <c r="AZ62" s="504"/>
      <c r="BA62" s="504"/>
      <c r="BB62" s="504"/>
      <c r="BC62" s="504"/>
      <c r="BD62" s="504"/>
      <c r="BE62" s="504"/>
      <c r="BF62" s="504"/>
      <c r="BG62" s="504"/>
      <c r="BH62" s="504"/>
      <c r="BI62" s="504"/>
      <c r="BJ62" s="504"/>
      <c r="BK62" s="504"/>
      <c r="BL62" s="504"/>
      <c r="BM62" s="504"/>
      <c r="BN62" s="504"/>
      <c r="BO62" s="504"/>
      <c r="BP62" s="504"/>
      <c r="BQ62" s="504"/>
      <c r="BR62" s="504"/>
      <c r="BS62" s="504"/>
      <c r="BT62" s="504"/>
      <c r="BU62" s="504"/>
      <c r="BV62" s="504"/>
      <c r="BW62" s="505"/>
      <c r="BX62" s="385" t="s">
        <v>80</v>
      </c>
      <c r="BY62" s="386"/>
      <c r="BZ62" s="386"/>
      <c r="CA62" s="386"/>
      <c r="CB62" s="386"/>
      <c r="CC62" s="386"/>
      <c r="CD62" s="386"/>
      <c r="CE62" s="387"/>
      <c r="CF62" s="431" t="s">
        <v>81</v>
      </c>
      <c r="CG62" s="429"/>
      <c r="CH62" s="429"/>
      <c r="CI62" s="429"/>
      <c r="CJ62" s="429"/>
      <c r="CK62" s="429"/>
      <c r="CL62" s="429"/>
      <c r="CM62" s="429"/>
      <c r="CN62" s="429"/>
      <c r="CO62" s="429"/>
      <c r="CP62" s="429"/>
      <c r="CQ62" s="429"/>
      <c r="CR62" s="430"/>
      <c r="CS62" s="431" t="s">
        <v>454</v>
      </c>
      <c r="CT62" s="429"/>
      <c r="CU62" s="429"/>
      <c r="CV62" s="429"/>
      <c r="CW62" s="429"/>
      <c r="CX62" s="429"/>
      <c r="CY62" s="429"/>
      <c r="CZ62" s="429"/>
      <c r="DA62" s="429"/>
      <c r="DB62" s="429"/>
      <c r="DC62" s="429"/>
      <c r="DD62" s="429"/>
      <c r="DE62" s="430"/>
      <c r="DF62" s="482">
        <f>'Раздел  обоснование 2022сш'!J24-DF63+'Раздел  обоснование 2022сш'!J35</f>
        <v>63777712.480000004</v>
      </c>
      <c r="DG62" s="483"/>
      <c r="DH62" s="483"/>
      <c r="DI62" s="483"/>
      <c r="DJ62" s="483"/>
      <c r="DK62" s="483"/>
      <c r="DL62" s="483"/>
      <c r="DM62" s="483"/>
      <c r="DN62" s="483"/>
      <c r="DO62" s="483"/>
      <c r="DP62" s="483"/>
      <c r="DQ62" s="483"/>
      <c r="DR62" s="484"/>
      <c r="DS62" s="477">
        <f>'Раздел  обоснование 2023сш '!J23+'Раздел  обоснование 2023сш '!J27</f>
        <v>55857880.6</v>
      </c>
      <c r="DT62" s="414"/>
      <c r="DU62" s="414"/>
      <c r="DV62" s="414"/>
      <c r="DW62" s="414"/>
      <c r="DX62" s="414"/>
      <c r="DY62" s="414"/>
      <c r="DZ62" s="414"/>
      <c r="EA62" s="414"/>
      <c r="EB62" s="414"/>
      <c r="EC62" s="414"/>
      <c r="ED62" s="414"/>
      <c r="EE62" s="450"/>
      <c r="EF62" s="477">
        <f>'Раздел  обоснование 2024сш'!J23+'Раздел  обоснование 2024сш'!J27</f>
        <v>55857880.6</v>
      </c>
      <c r="EG62" s="414"/>
      <c r="EH62" s="414"/>
      <c r="EI62" s="414"/>
      <c r="EJ62" s="414"/>
      <c r="EK62" s="414"/>
      <c r="EL62" s="414"/>
      <c r="EM62" s="414"/>
      <c r="EN62" s="414"/>
      <c r="EO62" s="414"/>
      <c r="EP62" s="414"/>
      <c r="EQ62" s="414"/>
      <c r="ER62" s="450"/>
      <c r="ES62" s="413" t="s">
        <v>43</v>
      </c>
      <c r="ET62" s="414"/>
      <c r="EU62" s="414"/>
      <c r="EV62" s="414"/>
      <c r="EW62" s="414"/>
      <c r="EX62" s="414"/>
      <c r="EY62" s="414"/>
      <c r="EZ62" s="414"/>
      <c r="FA62" s="414"/>
      <c r="FB62" s="414"/>
      <c r="FC62" s="414"/>
      <c r="FD62" s="414"/>
      <c r="FE62" s="415"/>
      <c r="FF62" s="271">
        <f>63777712.48</f>
        <v>63777712.48</v>
      </c>
      <c r="FG62" s="272">
        <f>DF62-FF62</f>
        <v>0</v>
      </c>
      <c r="FH62" s="166"/>
      <c r="FI62" s="166"/>
      <c r="FJ62" s="167"/>
      <c r="FK62" s="139"/>
      <c r="FO62" s="114"/>
    </row>
    <row r="63" spans="1:171" ht="12.75" customHeight="1">
      <c r="A63" s="506"/>
      <c r="B63" s="507"/>
      <c r="C63" s="507"/>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7"/>
      <c r="AY63" s="507"/>
      <c r="AZ63" s="507"/>
      <c r="BA63" s="507"/>
      <c r="BB63" s="507"/>
      <c r="BC63" s="507"/>
      <c r="BD63" s="507"/>
      <c r="BE63" s="507"/>
      <c r="BF63" s="507"/>
      <c r="BG63" s="507"/>
      <c r="BH63" s="507"/>
      <c r="BI63" s="507"/>
      <c r="BJ63" s="507"/>
      <c r="BK63" s="507"/>
      <c r="BL63" s="507"/>
      <c r="BM63" s="507"/>
      <c r="BN63" s="507"/>
      <c r="BO63" s="507"/>
      <c r="BP63" s="507"/>
      <c r="BQ63" s="507"/>
      <c r="BR63" s="507"/>
      <c r="BS63" s="507"/>
      <c r="BT63" s="507"/>
      <c r="BU63" s="507"/>
      <c r="BV63" s="507"/>
      <c r="BW63" s="508"/>
      <c r="BX63" s="388"/>
      <c r="BY63" s="389"/>
      <c r="BZ63" s="389"/>
      <c r="CA63" s="389"/>
      <c r="CB63" s="389"/>
      <c r="CC63" s="389"/>
      <c r="CD63" s="389"/>
      <c r="CE63" s="390"/>
      <c r="CF63" s="431" t="s">
        <v>81</v>
      </c>
      <c r="CG63" s="429"/>
      <c r="CH63" s="429"/>
      <c r="CI63" s="429"/>
      <c r="CJ63" s="429"/>
      <c r="CK63" s="429"/>
      <c r="CL63" s="429"/>
      <c r="CM63" s="429"/>
      <c r="CN63" s="429"/>
      <c r="CO63" s="429"/>
      <c r="CP63" s="429"/>
      <c r="CQ63" s="429"/>
      <c r="CR63" s="430"/>
      <c r="CS63" s="431" t="s">
        <v>455</v>
      </c>
      <c r="CT63" s="429"/>
      <c r="CU63" s="429"/>
      <c r="CV63" s="429"/>
      <c r="CW63" s="429"/>
      <c r="CX63" s="429"/>
      <c r="CY63" s="429"/>
      <c r="CZ63" s="429"/>
      <c r="DA63" s="429"/>
      <c r="DB63" s="429"/>
      <c r="DC63" s="429"/>
      <c r="DD63" s="429"/>
      <c r="DE63" s="430"/>
      <c r="DF63" s="482">
        <v>357972.01</v>
      </c>
      <c r="DG63" s="483"/>
      <c r="DH63" s="483"/>
      <c r="DI63" s="483"/>
      <c r="DJ63" s="483"/>
      <c r="DK63" s="483"/>
      <c r="DL63" s="483"/>
      <c r="DM63" s="483"/>
      <c r="DN63" s="483"/>
      <c r="DO63" s="483"/>
      <c r="DP63" s="483"/>
      <c r="DQ63" s="483"/>
      <c r="DR63" s="484"/>
      <c r="DS63" s="477">
        <v>0</v>
      </c>
      <c r="DT63" s="485"/>
      <c r="DU63" s="485"/>
      <c r="DV63" s="485"/>
      <c r="DW63" s="485"/>
      <c r="DX63" s="485"/>
      <c r="DY63" s="485"/>
      <c r="DZ63" s="485"/>
      <c r="EA63" s="485"/>
      <c r="EB63" s="485"/>
      <c r="EC63" s="485"/>
      <c r="ED63" s="485"/>
      <c r="EE63" s="486"/>
      <c r="EF63" s="477">
        <v>0</v>
      </c>
      <c r="EG63" s="485"/>
      <c r="EH63" s="485"/>
      <c r="EI63" s="485"/>
      <c r="EJ63" s="485"/>
      <c r="EK63" s="485"/>
      <c r="EL63" s="485"/>
      <c r="EM63" s="485"/>
      <c r="EN63" s="485"/>
      <c r="EO63" s="485"/>
      <c r="EP63" s="485"/>
      <c r="EQ63" s="485"/>
      <c r="ER63" s="486"/>
      <c r="ES63" s="413" t="s">
        <v>43</v>
      </c>
      <c r="ET63" s="414"/>
      <c r="EU63" s="414"/>
      <c r="EV63" s="414"/>
      <c r="EW63" s="414"/>
      <c r="EX63" s="414"/>
      <c r="EY63" s="414"/>
      <c r="EZ63" s="414"/>
      <c r="FA63" s="414"/>
      <c r="FB63" s="414"/>
      <c r="FC63" s="414"/>
      <c r="FD63" s="414"/>
      <c r="FE63" s="415"/>
      <c r="FF63" s="271">
        <f>357972.01</f>
        <v>357972.01</v>
      </c>
      <c r="FG63" s="272">
        <f aca="true" t="shared" si="0" ref="FG63:FG119">DF63-FF63</f>
        <v>0</v>
      </c>
      <c r="FH63" s="166"/>
      <c r="FI63" s="166"/>
      <c r="FJ63" s="167"/>
      <c r="FK63" s="139"/>
      <c r="FO63" s="114"/>
    </row>
    <row r="64" spans="1:171" ht="12.75" customHeight="1">
      <c r="A64" s="609" t="s">
        <v>456</v>
      </c>
      <c r="B64" s="610"/>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0"/>
      <c r="BD64" s="610"/>
      <c r="BE64" s="610"/>
      <c r="BF64" s="610"/>
      <c r="BG64" s="610"/>
      <c r="BH64" s="610"/>
      <c r="BI64" s="610"/>
      <c r="BJ64" s="610"/>
      <c r="BK64" s="610"/>
      <c r="BL64" s="610"/>
      <c r="BM64" s="610"/>
      <c r="BN64" s="610"/>
      <c r="BO64" s="610"/>
      <c r="BP64" s="610"/>
      <c r="BQ64" s="610"/>
      <c r="BR64" s="610"/>
      <c r="BS64" s="610"/>
      <c r="BT64" s="610"/>
      <c r="BU64" s="610"/>
      <c r="BV64" s="610"/>
      <c r="BW64" s="674"/>
      <c r="BX64" s="385" t="s">
        <v>82</v>
      </c>
      <c r="BY64" s="386"/>
      <c r="BZ64" s="386"/>
      <c r="CA64" s="386"/>
      <c r="CB64" s="386"/>
      <c r="CC64" s="386"/>
      <c r="CD64" s="386"/>
      <c r="CE64" s="387"/>
      <c r="CF64" s="431" t="s">
        <v>83</v>
      </c>
      <c r="CG64" s="429"/>
      <c r="CH64" s="429"/>
      <c r="CI64" s="429"/>
      <c r="CJ64" s="429"/>
      <c r="CK64" s="429"/>
      <c r="CL64" s="429"/>
      <c r="CM64" s="429"/>
      <c r="CN64" s="429"/>
      <c r="CO64" s="429"/>
      <c r="CP64" s="429"/>
      <c r="CQ64" s="429"/>
      <c r="CR64" s="430"/>
      <c r="CS64" s="431" t="s">
        <v>614</v>
      </c>
      <c r="CT64" s="429"/>
      <c r="CU64" s="429"/>
      <c r="CV64" s="429"/>
      <c r="CW64" s="429"/>
      <c r="CX64" s="429"/>
      <c r="CY64" s="429"/>
      <c r="CZ64" s="429"/>
      <c r="DA64" s="429"/>
      <c r="DB64" s="429"/>
      <c r="DC64" s="429"/>
      <c r="DD64" s="429"/>
      <c r="DE64" s="430"/>
      <c r="DF64" s="482">
        <f>'Раздел  обоснование 2022сш'!F50+'Раздел  обоснование 2022сш'!F44</f>
        <v>15400</v>
      </c>
      <c r="DG64" s="483"/>
      <c r="DH64" s="483"/>
      <c r="DI64" s="483"/>
      <c r="DJ64" s="483"/>
      <c r="DK64" s="483"/>
      <c r="DL64" s="483"/>
      <c r="DM64" s="483"/>
      <c r="DN64" s="483"/>
      <c r="DO64" s="483"/>
      <c r="DP64" s="483"/>
      <c r="DQ64" s="483"/>
      <c r="DR64" s="484"/>
      <c r="DS64" s="477">
        <v>0</v>
      </c>
      <c r="DT64" s="485"/>
      <c r="DU64" s="485"/>
      <c r="DV64" s="485"/>
      <c r="DW64" s="485"/>
      <c r="DX64" s="485"/>
      <c r="DY64" s="485"/>
      <c r="DZ64" s="485"/>
      <c r="EA64" s="485"/>
      <c r="EB64" s="485"/>
      <c r="EC64" s="485"/>
      <c r="ED64" s="485"/>
      <c r="EE64" s="486"/>
      <c r="EF64" s="477">
        <v>0</v>
      </c>
      <c r="EG64" s="485"/>
      <c r="EH64" s="485"/>
      <c r="EI64" s="485"/>
      <c r="EJ64" s="485"/>
      <c r="EK64" s="485"/>
      <c r="EL64" s="485"/>
      <c r="EM64" s="485"/>
      <c r="EN64" s="485"/>
      <c r="EO64" s="485"/>
      <c r="EP64" s="485"/>
      <c r="EQ64" s="485"/>
      <c r="ER64" s="486"/>
      <c r="ES64" s="274"/>
      <c r="ET64" s="275"/>
      <c r="EU64" s="275"/>
      <c r="EV64" s="275"/>
      <c r="EW64" s="275"/>
      <c r="EX64" s="275"/>
      <c r="EY64" s="275"/>
      <c r="EZ64" s="275"/>
      <c r="FA64" s="275"/>
      <c r="FB64" s="275"/>
      <c r="FC64" s="275"/>
      <c r="FD64" s="275"/>
      <c r="FE64" s="276"/>
      <c r="FF64" s="271">
        <f>15400</f>
        <v>15400</v>
      </c>
      <c r="FG64" s="272">
        <f t="shared" si="0"/>
        <v>0</v>
      </c>
      <c r="FH64" s="166"/>
      <c r="FI64" s="166"/>
      <c r="FJ64" s="167"/>
      <c r="FK64" s="139"/>
      <c r="FO64" s="114"/>
    </row>
    <row r="65" spans="1:171" ht="13.5" customHeight="1">
      <c r="A65" s="647"/>
      <c r="B65" s="648"/>
      <c r="C65" s="648"/>
      <c r="D65" s="648"/>
      <c r="E65" s="648"/>
      <c r="F65" s="648"/>
      <c r="G65" s="648"/>
      <c r="H65" s="648"/>
      <c r="I65" s="648"/>
      <c r="J65" s="648"/>
      <c r="K65" s="648"/>
      <c r="L65" s="648"/>
      <c r="M65" s="648"/>
      <c r="N65" s="648"/>
      <c r="O65" s="648"/>
      <c r="P65" s="648"/>
      <c r="Q65" s="648"/>
      <c r="R65" s="648"/>
      <c r="S65" s="648"/>
      <c r="T65" s="648"/>
      <c r="U65" s="648"/>
      <c r="V65" s="648"/>
      <c r="W65" s="648"/>
      <c r="X65" s="648"/>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48"/>
      <c r="AV65" s="648"/>
      <c r="AW65" s="648"/>
      <c r="AX65" s="648"/>
      <c r="AY65" s="648"/>
      <c r="AZ65" s="648"/>
      <c r="BA65" s="648"/>
      <c r="BB65" s="648"/>
      <c r="BC65" s="648"/>
      <c r="BD65" s="648"/>
      <c r="BE65" s="648"/>
      <c r="BF65" s="648"/>
      <c r="BG65" s="648"/>
      <c r="BH65" s="648"/>
      <c r="BI65" s="648"/>
      <c r="BJ65" s="648"/>
      <c r="BK65" s="648"/>
      <c r="BL65" s="648"/>
      <c r="BM65" s="648"/>
      <c r="BN65" s="648"/>
      <c r="BO65" s="648"/>
      <c r="BP65" s="648"/>
      <c r="BQ65" s="648"/>
      <c r="BR65" s="648"/>
      <c r="BS65" s="648"/>
      <c r="BT65" s="648"/>
      <c r="BU65" s="648"/>
      <c r="BV65" s="648"/>
      <c r="BW65" s="675"/>
      <c r="BX65" s="677"/>
      <c r="BY65" s="678"/>
      <c r="BZ65" s="678"/>
      <c r="CA65" s="678"/>
      <c r="CB65" s="678"/>
      <c r="CC65" s="678"/>
      <c r="CD65" s="678"/>
      <c r="CE65" s="679"/>
      <c r="CF65" s="431" t="s">
        <v>83</v>
      </c>
      <c r="CG65" s="429"/>
      <c r="CH65" s="429"/>
      <c r="CI65" s="429"/>
      <c r="CJ65" s="429"/>
      <c r="CK65" s="429"/>
      <c r="CL65" s="429"/>
      <c r="CM65" s="429"/>
      <c r="CN65" s="429"/>
      <c r="CO65" s="429"/>
      <c r="CP65" s="429"/>
      <c r="CQ65" s="429"/>
      <c r="CR65" s="430"/>
      <c r="CS65" s="431" t="s">
        <v>458</v>
      </c>
      <c r="CT65" s="429"/>
      <c r="CU65" s="429"/>
      <c r="CV65" s="429"/>
      <c r="CW65" s="429"/>
      <c r="CX65" s="429"/>
      <c r="CY65" s="429"/>
      <c r="CZ65" s="429"/>
      <c r="DA65" s="429"/>
      <c r="DB65" s="429"/>
      <c r="DC65" s="429"/>
      <c r="DD65" s="429"/>
      <c r="DE65" s="430"/>
      <c r="DF65" s="482">
        <f>'Раздел  обоснование 2022сш'!F47</f>
        <v>826487.3</v>
      </c>
      <c r="DG65" s="483"/>
      <c r="DH65" s="483"/>
      <c r="DI65" s="483"/>
      <c r="DJ65" s="483"/>
      <c r="DK65" s="483"/>
      <c r="DL65" s="483"/>
      <c r="DM65" s="483"/>
      <c r="DN65" s="483"/>
      <c r="DO65" s="483"/>
      <c r="DP65" s="483"/>
      <c r="DQ65" s="483"/>
      <c r="DR65" s="484"/>
      <c r="DS65" s="477">
        <f>'Раздел  обоснование 2023сш '!F42</f>
        <v>1325000</v>
      </c>
      <c r="DT65" s="414"/>
      <c r="DU65" s="414"/>
      <c r="DV65" s="414"/>
      <c r="DW65" s="414"/>
      <c r="DX65" s="414"/>
      <c r="DY65" s="414"/>
      <c r="DZ65" s="414"/>
      <c r="EA65" s="414"/>
      <c r="EB65" s="414"/>
      <c r="EC65" s="414"/>
      <c r="ED65" s="414"/>
      <c r="EE65" s="450"/>
      <c r="EF65" s="477">
        <f>'Раздел  обоснование 2024сш'!F42</f>
        <v>1325000</v>
      </c>
      <c r="EG65" s="414"/>
      <c r="EH65" s="414"/>
      <c r="EI65" s="414"/>
      <c r="EJ65" s="414"/>
      <c r="EK65" s="414"/>
      <c r="EL65" s="414"/>
      <c r="EM65" s="414"/>
      <c r="EN65" s="414"/>
      <c r="EO65" s="414"/>
      <c r="EP65" s="414"/>
      <c r="EQ65" s="414"/>
      <c r="ER65" s="450"/>
      <c r="ES65" s="413" t="s">
        <v>43</v>
      </c>
      <c r="ET65" s="414"/>
      <c r="EU65" s="414"/>
      <c r="EV65" s="414"/>
      <c r="EW65" s="414"/>
      <c r="EX65" s="414"/>
      <c r="EY65" s="414"/>
      <c r="EZ65" s="414"/>
      <c r="FA65" s="414"/>
      <c r="FB65" s="414"/>
      <c r="FC65" s="414"/>
      <c r="FD65" s="414"/>
      <c r="FE65" s="415"/>
      <c r="FF65" s="271">
        <f>826487.3</f>
        <v>826487.3</v>
      </c>
      <c r="FG65" s="272">
        <f t="shared" si="0"/>
        <v>0</v>
      </c>
      <c r="FH65" s="166"/>
      <c r="FI65" s="166"/>
      <c r="FJ65" s="167"/>
      <c r="FK65" s="139"/>
      <c r="FO65" s="114"/>
    </row>
    <row r="66" spans="1:171" ht="13.5" customHeight="1">
      <c r="A66" s="647"/>
      <c r="B66" s="648"/>
      <c r="C66" s="648"/>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8"/>
      <c r="AD66" s="648"/>
      <c r="AE66" s="648"/>
      <c r="AF66" s="648"/>
      <c r="AG66" s="648"/>
      <c r="AH66" s="648"/>
      <c r="AI66" s="648"/>
      <c r="AJ66" s="648"/>
      <c r="AK66" s="648"/>
      <c r="AL66" s="648"/>
      <c r="AM66" s="648"/>
      <c r="AN66" s="648"/>
      <c r="AO66" s="648"/>
      <c r="AP66" s="648"/>
      <c r="AQ66" s="648"/>
      <c r="AR66" s="648"/>
      <c r="AS66" s="648"/>
      <c r="AT66" s="648"/>
      <c r="AU66" s="648"/>
      <c r="AV66" s="648"/>
      <c r="AW66" s="648"/>
      <c r="AX66" s="648"/>
      <c r="AY66" s="648"/>
      <c r="AZ66" s="648"/>
      <c r="BA66" s="648"/>
      <c r="BB66" s="648"/>
      <c r="BC66" s="648"/>
      <c r="BD66" s="648"/>
      <c r="BE66" s="648"/>
      <c r="BF66" s="648"/>
      <c r="BG66" s="648"/>
      <c r="BH66" s="648"/>
      <c r="BI66" s="648"/>
      <c r="BJ66" s="648"/>
      <c r="BK66" s="648"/>
      <c r="BL66" s="648"/>
      <c r="BM66" s="648"/>
      <c r="BN66" s="648"/>
      <c r="BO66" s="648"/>
      <c r="BP66" s="648"/>
      <c r="BQ66" s="648"/>
      <c r="BR66" s="648"/>
      <c r="BS66" s="648"/>
      <c r="BT66" s="648"/>
      <c r="BU66" s="648"/>
      <c r="BV66" s="648"/>
      <c r="BW66" s="675"/>
      <c r="BX66" s="677"/>
      <c r="BY66" s="678"/>
      <c r="BZ66" s="678"/>
      <c r="CA66" s="678"/>
      <c r="CB66" s="678"/>
      <c r="CC66" s="678"/>
      <c r="CD66" s="678"/>
      <c r="CE66" s="679"/>
      <c r="CF66" s="431" t="s">
        <v>83</v>
      </c>
      <c r="CG66" s="429"/>
      <c r="CH66" s="429"/>
      <c r="CI66" s="429"/>
      <c r="CJ66" s="429"/>
      <c r="CK66" s="429"/>
      <c r="CL66" s="429"/>
      <c r="CM66" s="429"/>
      <c r="CN66" s="429"/>
      <c r="CO66" s="429"/>
      <c r="CP66" s="429"/>
      <c r="CQ66" s="429"/>
      <c r="CR66" s="430"/>
      <c r="CS66" s="431" t="s">
        <v>457</v>
      </c>
      <c r="CT66" s="429"/>
      <c r="CU66" s="429"/>
      <c r="CV66" s="429"/>
      <c r="CW66" s="429"/>
      <c r="CX66" s="429"/>
      <c r="CY66" s="429"/>
      <c r="CZ66" s="429"/>
      <c r="DA66" s="429"/>
      <c r="DB66" s="429"/>
      <c r="DC66" s="429"/>
      <c r="DD66" s="429"/>
      <c r="DE66" s="430"/>
      <c r="DF66" s="482">
        <f>'Раздел  обоснование 2022сш'!F43+'Раздел  обоснование 2022сш'!F51</f>
        <v>167191.66</v>
      </c>
      <c r="DG66" s="483"/>
      <c r="DH66" s="483"/>
      <c r="DI66" s="483"/>
      <c r="DJ66" s="483"/>
      <c r="DK66" s="483"/>
      <c r="DL66" s="483"/>
      <c r="DM66" s="483"/>
      <c r="DN66" s="483"/>
      <c r="DO66" s="483"/>
      <c r="DP66" s="483"/>
      <c r="DQ66" s="483"/>
      <c r="DR66" s="484"/>
      <c r="DS66" s="477">
        <v>0</v>
      </c>
      <c r="DT66" s="485"/>
      <c r="DU66" s="485"/>
      <c r="DV66" s="485"/>
      <c r="DW66" s="485"/>
      <c r="DX66" s="485"/>
      <c r="DY66" s="485"/>
      <c r="DZ66" s="485"/>
      <c r="EA66" s="485"/>
      <c r="EB66" s="485"/>
      <c r="EC66" s="485"/>
      <c r="ED66" s="485"/>
      <c r="EE66" s="486"/>
      <c r="EF66" s="477">
        <v>0</v>
      </c>
      <c r="EG66" s="485"/>
      <c r="EH66" s="485"/>
      <c r="EI66" s="485"/>
      <c r="EJ66" s="485"/>
      <c r="EK66" s="485"/>
      <c r="EL66" s="485"/>
      <c r="EM66" s="485"/>
      <c r="EN66" s="485"/>
      <c r="EO66" s="485"/>
      <c r="EP66" s="485"/>
      <c r="EQ66" s="485"/>
      <c r="ER66" s="486"/>
      <c r="ES66" s="413" t="s">
        <v>43</v>
      </c>
      <c r="ET66" s="414"/>
      <c r="EU66" s="414"/>
      <c r="EV66" s="414"/>
      <c r="EW66" s="414"/>
      <c r="EX66" s="414"/>
      <c r="EY66" s="414"/>
      <c r="EZ66" s="414"/>
      <c r="FA66" s="414"/>
      <c r="FB66" s="414"/>
      <c r="FC66" s="414"/>
      <c r="FD66" s="414"/>
      <c r="FE66" s="415"/>
      <c r="FF66" s="271">
        <f>167191.66</f>
        <v>167191.66</v>
      </c>
      <c r="FG66" s="272">
        <f t="shared" si="0"/>
        <v>0</v>
      </c>
      <c r="FH66" s="166"/>
      <c r="FI66" s="166"/>
      <c r="FJ66" s="167"/>
      <c r="FK66" s="139"/>
      <c r="FO66" s="114"/>
    </row>
    <row r="67" spans="1:171" ht="13.5" customHeight="1">
      <c r="A67" s="612"/>
      <c r="B67" s="613"/>
      <c r="C67" s="613"/>
      <c r="D67" s="613"/>
      <c r="E67" s="613"/>
      <c r="F67" s="613"/>
      <c r="G67" s="613"/>
      <c r="H67" s="613"/>
      <c r="I67" s="613"/>
      <c r="J67" s="613"/>
      <c r="K67" s="613"/>
      <c r="L67" s="613"/>
      <c r="M67" s="613"/>
      <c r="N67" s="613"/>
      <c r="O67" s="613"/>
      <c r="P67" s="613"/>
      <c r="Q67" s="613"/>
      <c r="R67" s="613"/>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13"/>
      <c r="BJ67" s="613"/>
      <c r="BK67" s="613"/>
      <c r="BL67" s="613"/>
      <c r="BM67" s="613"/>
      <c r="BN67" s="613"/>
      <c r="BO67" s="613"/>
      <c r="BP67" s="613"/>
      <c r="BQ67" s="613"/>
      <c r="BR67" s="613"/>
      <c r="BS67" s="613"/>
      <c r="BT67" s="613"/>
      <c r="BU67" s="613"/>
      <c r="BV67" s="613"/>
      <c r="BW67" s="676"/>
      <c r="BX67" s="388"/>
      <c r="BY67" s="389"/>
      <c r="BZ67" s="389"/>
      <c r="CA67" s="389"/>
      <c r="CB67" s="389"/>
      <c r="CC67" s="389"/>
      <c r="CD67" s="389"/>
      <c r="CE67" s="390"/>
      <c r="CF67" s="431" t="s">
        <v>83</v>
      </c>
      <c r="CG67" s="429"/>
      <c r="CH67" s="429"/>
      <c r="CI67" s="429"/>
      <c r="CJ67" s="429"/>
      <c r="CK67" s="429"/>
      <c r="CL67" s="429"/>
      <c r="CM67" s="429"/>
      <c r="CN67" s="429"/>
      <c r="CO67" s="429"/>
      <c r="CP67" s="429"/>
      <c r="CQ67" s="429"/>
      <c r="CR67" s="430"/>
      <c r="CS67" s="431" t="s">
        <v>455</v>
      </c>
      <c r="CT67" s="429"/>
      <c r="CU67" s="429"/>
      <c r="CV67" s="429"/>
      <c r="CW67" s="429"/>
      <c r="CX67" s="429"/>
      <c r="CY67" s="429"/>
      <c r="CZ67" s="429"/>
      <c r="DA67" s="429"/>
      <c r="DB67" s="429"/>
      <c r="DC67" s="429"/>
      <c r="DD67" s="429"/>
      <c r="DE67" s="430"/>
      <c r="DF67" s="482">
        <f>'Раздел  обоснование 2022сш'!E89</f>
        <v>30496</v>
      </c>
      <c r="DG67" s="483"/>
      <c r="DH67" s="483"/>
      <c r="DI67" s="483"/>
      <c r="DJ67" s="483"/>
      <c r="DK67" s="483"/>
      <c r="DL67" s="483"/>
      <c r="DM67" s="483"/>
      <c r="DN67" s="483"/>
      <c r="DO67" s="483"/>
      <c r="DP67" s="483"/>
      <c r="DQ67" s="483"/>
      <c r="DR67" s="484"/>
      <c r="DS67" s="477">
        <f>'Раздел  обоснование 2023сш '!F40</f>
        <v>0</v>
      </c>
      <c r="DT67" s="485"/>
      <c r="DU67" s="485"/>
      <c r="DV67" s="485"/>
      <c r="DW67" s="485"/>
      <c r="DX67" s="485"/>
      <c r="DY67" s="485"/>
      <c r="DZ67" s="485"/>
      <c r="EA67" s="485"/>
      <c r="EB67" s="485"/>
      <c r="EC67" s="485"/>
      <c r="ED67" s="485"/>
      <c r="EE67" s="486"/>
      <c r="EF67" s="477">
        <f>'Раздел  обоснование 2024сш'!F40</f>
        <v>0</v>
      </c>
      <c r="EG67" s="485"/>
      <c r="EH67" s="485"/>
      <c r="EI67" s="485"/>
      <c r="EJ67" s="485"/>
      <c r="EK67" s="485"/>
      <c r="EL67" s="485"/>
      <c r="EM67" s="485"/>
      <c r="EN67" s="485"/>
      <c r="EO67" s="485"/>
      <c r="EP67" s="485"/>
      <c r="EQ67" s="485"/>
      <c r="ER67" s="486"/>
      <c r="ES67" s="413" t="s">
        <v>43</v>
      </c>
      <c r="ET67" s="414"/>
      <c r="EU67" s="414"/>
      <c r="EV67" s="414"/>
      <c r="EW67" s="414"/>
      <c r="EX67" s="414"/>
      <c r="EY67" s="414"/>
      <c r="EZ67" s="414"/>
      <c r="FA67" s="414"/>
      <c r="FB67" s="414"/>
      <c r="FC67" s="414"/>
      <c r="FD67" s="414"/>
      <c r="FE67" s="415"/>
      <c r="FF67" s="271">
        <f>30496</f>
        <v>30496</v>
      </c>
      <c r="FG67" s="272">
        <f t="shared" si="0"/>
        <v>0</v>
      </c>
      <c r="FH67" s="166"/>
      <c r="FI67" s="166"/>
      <c r="FJ67" s="167"/>
      <c r="FK67" s="139"/>
      <c r="FO67" s="114"/>
    </row>
    <row r="68" spans="1:171" ht="22.5" customHeight="1">
      <c r="A68" s="465" t="s">
        <v>84</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466"/>
      <c r="BL68" s="466"/>
      <c r="BM68" s="466"/>
      <c r="BN68" s="466"/>
      <c r="BO68" s="466"/>
      <c r="BP68" s="466"/>
      <c r="BQ68" s="466"/>
      <c r="BR68" s="466"/>
      <c r="BS68" s="466"/>
      <c r="BT68" s="466"/>
      <c r="BU68" s="466"/>
      <c r="BV68" s="466"/>
      <c r="BW68" s="466"/>
      <c r="BX68" s="428" t="s">
        <v>85</v>
      </c>
      <c r="BY68" s="429"/>
      <c r="BZ68" s="429"/>
      <c r="CA68" s="429"/>
      <c r="CB68" s="429"/>
      <c r="CC68" s="429"/>
      <c r="CD68" s="429"/>
      <c r="CE68" s="430"/>
      <c r="CF68" s="431" t="s">
        <v>86</v>
      </c>
      <c r="CG68" s="429"/>
      <c r="CH68" s="429"/>
      <c r="CI68" s="429"/>
      <c r="CJ68" s="429"/>
      <c r="CK68" s="429"/>
      <c r="CL68" s="429"/>
      <c r="CM68" s="429"/>
      <c r="CN68" s="429"/>
      <c r="CO68" s="429"/>
      <c r="CP68" s="429"/>
      <c r="CQ68" s="429"/>
      <c r="CR68" s="430"/>
      <c r="CS68" s="431"/>
      <c r="CT68" s="429"/>
      <c r="CU68" s="429"/>
      <c r="CV68" s="429"/>
      <c r="CW68" s="429"/>
      <c r="CX68" s="429"/>
      <c r="CY68" s="429"/>
      <c r="CZ68" s="429"/>
      <c r="DA68" s="429"/>
      <c r="DB68" s="429"/>
      <c r="DC68" s="429"/>
      <c r="DD68" s="429"/>
      <c r="DE68" s="430"/>
      <c r="DF68" s="413"/>
      <c r="DG68" s="414"/>
      <c r="DH68" s="414"/>
      <c r="DI68" s="414"/>
      <c r="DJ68" s="414"/>
      <c r="DK68" s="414"/>
      <c r="DL68" s="414"/>
      <c r="DM68" s="414"/>
      <c r="DN68" s="414"/>
      <c r="DO68" s="414"/>
      <c r="DP68" s="414"/>
      <c r="DQ68" s="414"/>
      <c r="DR68" s="450"/>
      <c r="DS68" s="413"/>
      <c r="DT68" s="414"/>
      <c r="DU68" s="414"/>
      <c r="DV68" s="414"/>
      <c r="DW68" s="414"/>
      <c r="DX68" s="414"/>
      <c r="DY68" s="414"/>
      <c r="DZ68" s="414"/>
      <c r="EA68" s="414"/>
      <c r="EB68" s="414"/>
      <c r="EC68" s="414"/>
      <c r="ED68" s="414"/>
      <c r="EE68" s="450"/>
      <c r="EF68" s="413"/>
      <c r="EG68" s="414"/>
      <c r="EH68" s="414"/>
      <c r="EI68" s="414"/>
      <c r="EJ68" s="414"/>
      <c r="EK68" s="414"/>
      <c r="EL68" s="414"/>
      <c r="EM68" s="414"/>
      <c r="EN68" s="414"/>
      <c r="EO68" s="414"/>
      <c r="EP68" s="414"/>
      <c r="EQ68" s="414"/>
      <c r="ER68" s="450"/>
      <c r="ES68" s="413" t="s">
        <v>43</v>
      </c>
      <c r="ET68" s="414"/>
      <c r="EU68" s="414"/>
      <c r="EV68" s="414"/>
      <c r="EW68" s="414"/>
      <c r="EX68" s="414"/>
      <c r="EY68" s="414"/>
      <c r="EZ68" s="414"/>
      <c r="FA68" s="414"/>
      <c r="FB68" s="414"/>
      <c r="FC68" s="414"/>
      <c r="FD68" s="414"/>
      <c r="FE68" s="415"/>
      <c r="FF68" s="271"/>
      <c r="FG68" s="272">
        <f t="shared" si="0"/>
        <v>0</v>
      </c>
      <c r="FH68" s="166"/>
      <c r="FI68" s="166"/>
      <c r="FJ68" s="167"/>
      <c r="FK68" s="139"/>
      <c r="FO68" s="114"/>
    </row>
    <row r="69" spans="1:171" ht="22.5" customHeight="1">
      <c r="A69" s="465" t="s">
        <v>87</v>
      </c>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66"/>
      <c r="BI69" s="466"/>
      <c r="BJ69" s="466"/>
      <c r="BK69" s="466"/>
      <c r="BL69" s="466"/>
      <c r="BM69" s="466"/>
      <c r="BN69" s="466"/>
      <c r="BO69" s="466"/>
      <c r="BP69" s="466"/>
      <c r="BQ69" s="466"/>
      <c r="BR69" s="466"/>
      <c r="BS69" s="466"/>
      <c r="BT69" s="466"/>
      <c r="BU69" s="466"/>
      <c r="BV69" s="466"/>
      <c r="BW69" s="466"/>
      <c r="BX69" s="428" t="s">
        <v>88</v>
      </c>
      <c r="BY69" s="429"/>
      <c r="BZ69" s="429"/>
      <c r="CA69" s="429"/>
      <c r="CB69" s="429"/>
      <c r="CC69" s="429"/>
      <c r="CD69" s="429"/>
      <c r="CE69" s="430"/>
      <c r="CF69" s="431" t="s">
        <v>89</v>
      </c>
      <c r="CG69" s="429"/>
      <c r="CH69" s="429"/>
      <c r="CI69" s="429"/>
      <c r="CJ69" s="429"/>
      <c r="CK69" s="429"/>
      <c r="CL69" s="429"/>
      <c r="CM69" s="429"/>
      <c r="CN69" s="429"/>
      <c r="CO69" s="429"/>
      <c r="CP69" s="429"/>
      <c r="CQ69" s="429"/>
      <c r="CR69" s="430"/>
      <c r="CS69" s="431" t="s">
        <v>467</v>
      </c>
      <c r="CT69" s="429"/>
      <c r="CU69" s="429"/>
      <c r="CV69" s="429"/>
      <c r="CW69" s="429"/>
      <c r="CX69" s="429"/>
      <c r="CY69" s="429"/>
      <c r="CZ69" s="429"/>
      <c r="DA69" s="429"/>
      <c r="DB69" s="429"/>
      <c r="DC69" s="429"/>
      <c r="DD69" s="429"/>
      <c r="DE69" s="430"/>
      <c r="DF69" s="482">
        <f>DF70+DF71</f>
        <v>18676213.45</v>
      </c>
      <c r="DG69" s="414"/>
      <c r="DH69" s="414"/>
      <c r="DI69" s="414"/>
      <c r="DJ69" s="414"/>
      <c r="DK69" s="414"/>
      <c r="DL69" s="414"/>
      <c r="DM69" s="414"/>
      <c r="DN69" s="414"/>
      <c r="DO69" s="414"/>
      <c r="DP69" s="414"/>
      <c r="DQ69" s="414"/>
      <c r="DR69" s="450"/>
      <c r="DS69" s="482">
        <f>DS70+DS71</f>
        <v>14666338.08</v>
      </c>
      <c r="DT69" s="414"/>
      <c r="DU69" s="414"/>
      <c r="DV69" s="414"/>
      <c r="DW69" s="414"/>
      <c r="DX69" s="414"/>
      <c r="DY69" s="414"/>
      <c r="DZ69" s="414"/>
      <c r="EA69" s="414"/>
      <c r="EB69" s="414"/>
      <c r="EC69" s="414"/>
      <c r="ED69" s="414"/>
      <c r="EE69" s="450"/>
      <c r="EF69" s="482">
        <f>EF70+EF71</f>
        <v>14666338.08</v>
      </c>
      <c r="EG69" s="414"/>
      <c r="EH69" s="414"/>
      <c r="EI69" s="414"/>
      <c r="EJ69" s="414"/>
      <c r="EK69" s="414"/>
      <c r="EL69" s="414"/>
      <c r="EM69" s="414"/>
      <c r="EN69" s="414"/>
      <c r="EO69" s="414"/>
      <c r="EP69" s="414"/>
      <c r="EQ69" s="414"/>
      <c r="ER69" s="450"/>
      <c r="ES69" s="413" t="s">
        <v>43</v>
      </c>
      <c r="ET69" s="414"/>
      <c r="EU69" s="414"/>
      <c r="EV69" s="414"/>
      <c r="EW69" s="414"/>
      <c r="EX69" s="414"/>
      <c r="EY69" s="414"/>
      <c r="EZ69" s="414"/>
      <c r="FA69" s="414"/>
      <c r="FB69" s="414"/>
      <c r="FC69" s="414"/>
      <c r="FD69" s="414"/>
      <c r="FE69" s="415"/>
      <c r="FF69" s="271"/>
      <c r="FG69" s="272"/>
      <c r="FH69" s="166"/>
      <c r="FI69" s="166"/>
      <c r="FJ69" s="167"/>
      <c r="FK69" s="139"/>
      <c r="FO69" s="114"/>
    </row>
    <row r="70" spans="1:171" ht="22.5" customHeight="1">
      <c r="A70" s="463" t="s">
        <v>90</v>
      </c>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464"/>
      <c r="BA70" s="464"/>
      <c r="BB70" s="464"/>
      <c r="BC70" s="464"/>
      <c r="BD70" s="464"/>
      <c r="BE70" s="464"/>
      <c r="BF70" s="464"/>
      <c r="BG70" s="464"/>
      <c r="BH70" s="464"/>
      <c r="BI70" s="464"/>
      <c r="BJ70" s="464"/>
      <c r="BK70" s="464"/>
      <c r="BL70" s="464"/>
      <c r="BM70" s="464"/>
      <c r="BN70" s="464"/>
      <c r="BO70" s="464"/>
      <c r="BP70" s="464"/>
      <c r="BQ70" s="464"/>
      <c r="BR70" s="464"/>
      <c r="BS70" s="464"/>
      <c r="BT70" s="464"/>
      <c r="BU70" s="464"/>
      <c r="BV70" s="464"/>
      <c r="BW70" s="464"/>
      <c r="BX70" s="428" t="s">
        <v>91</v>
      </c>
      <c r="BY70" s="429"/>
      <c r="BZ70" s="429"/>
      <c r="CA70" s="429"/>
      <c r="CB70" s="429"/>
      <c r="CC70" s="429"/>
      <c r="CD70" s="429"/>
      <c r="CE70" s="430"/>
      <c r="CF70" s="431" t="s">
        <v>89</v>
      </c>
      <c r="CG70" s="429"/>
      <c r="CH70" s="429"/>
      <c r="CI70" s="429"/>
      <c r="CJ70" s="429"/>
      <c r="CK70" s="429"/>
      <c r="CL70" s="429"/>
      <c r="CM70" s="429"/>
      <c r="CN70" s="429"/>
      <c r="CO70" s="429"/>
      <c r="CP70" s="429"/>
      <c r="CQ70" s="429"/>
      <c r="CR70" s="430"/>
      <c r="CS70" s="431" t="s">
        <v>467</v>
      </c>
      <c r="CT70" s="429"/>
      <c r="CU70" s="429"/>
      <c r="CV70" s="429"/>
      <c r="CW70" s="429"/>
      <c r="CX70" s="429"/>
      <c r="CY70" s="429"/>
      <c r="CZ70" s="429"/>
      <c r="DA70" s="429"/>
      <c r="DB70" s="429"/>
      <c r="DC70" s="429"/>
      <c r="DD70" s="429"/>
      <c r="DE70" s="430"/>
      <c r="DF70" s="482">
        <f>'Раздел  обоснование 2022сш'!D72+'Раздел  обоснование 2022сш'!D82-DF71</f>
        <v>18667003.66</v>
      </c>
      <c r="DG70" s="414"/>
      <c r="DH70" s="414"/>
      <c r="DI70" s="414"/>
      <c r="DJ70" s="414"/>
      <c r="DK70" s="414"/>
      <c r="DL70" s="414"/>
      <c r="DM70" s="414"/>
      <c r="DN70" s="414"/>
      <c r="DO70" s="414"/>
      <c r="DP70" s="414"/>
      <c r="DQ70" s="414"/>
      <c r="DR70" s="450"/>
      <c r="DS70" s="482">
        <f>'Раздел  обоснование 2023сш '!D58+'Раздел  обоснование 2023сш '!D75</f>
        <v>14666338.08</v>
      </c>
      <c r="DT70" s="414"/>
      <c r="DU70" s="414"/>
      <c r="DV70" s="414"/>
      <c r="DW70" s="414"/>
      <c r="DX70" s="414"/>
      <c r="DY70" s="414"/>
      <c r="DZ70" s="414"/>
      <c r="EA70" s="414"/>
      <c r="EB70" s="414"/>
      <c r="EC70" s="414"/>
      <c r="ED70" s="414"/>
      <c r="EE70" s="450"/>
      <c r="EF70" s="482">
        <f>'Раздел  обоснование 2024сш'!D75+'Раздел  обоснование 2024сш'!D58</f>
        <v>14666338.08</v>
      </c>
      <c r="EG70" s="414"/>
      <c r="EH70" s="414"/>
      <c r="EI70" s="414"/>
      <c r="EJ70" s="414"/>
      <c r="EK70" s="414"/>
      <c r="EL70" s="414"/>
      <c r="EM70" s="414"/>
      <c r="EN70" s="414"/>
      <c r="EO70" s="414"/>
      <c r="EP70" s="414"/>
      <c r="EQ70" s="414"/>
      <c r="ER70" s="450"/>
      <c r="ES70" s="413" t="s">
        <v>43</v>
      </c>
      <c r="ET70" s="414"/>
      <c r="EU70" s="414"/>
      <c r="EV70" s="414"/>
      <c r="EW70" s="414"/>
      <c r="EX70" s="414"/>
      <c r="EY70" s="414"/>
      <c r="EZ70" s="414"/>
      <c r="FA70" s="414"/>
      <c r="FB70" s="414"/>
      <c r="FC70" s="414"/>
      <c r="FD70" s="414"/>
      <c r="FE70" s="415"/>
      <c r="FF70" s="271">
        <f>18667003.66</f>
        <v>18667003.66</v>
      </c>
      <c r="FG70" s="272">
        <f t="shared" si="0"/>
        <v>0</v>
      </c>
      <c r="FH70" s="166"/>
      <c r="FI70" s="166"/>
      <c r="FJ70" s="167"/>
      <c r="FK70" s="139"/>
      <c r="FO70" s="114"/>
    </row>
    <row r="71" spans="1:171" ht="16.5" customHeight="1" thickBot="1">
      <c r="A71" s="501" t="s">
        <v>92</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446" t="s">
        <v>93</v>
      </c>
      <c r="BY71" s="447"/>
      <c r="BZ71" s="447"/>
      <c r="CA71" s="447"/>
      <c r="CB71" s="447"/>
      <c r="CC71" s="447"/>
      <c r="CD71" s="447"/>
      <c r="CE71" s="448"/>
      <c r="CF71" s="449" t="s">
        <v>89</v>
      </c>
      <c r="CG71" s="447"/>
      <c r="CH71" s="447"/>
      <c r="CI71" s="447"/>
      <c r="CJ71" s="447"/>
      <c r="CK71" s="447"/>
      <c r="CL71" s="447"/>
      <c r="CM71" s="447"/>
      <c r="CN71" s="447"/>
      <c r="CO71" s="447"/>
      <c r="CP71" s="447"/>
      <c r="CQ71" s="447"/>
      <c r="CR71" s="448"/>
      <c r="CS71" s="449" t="s">
        <v>455</v>
      </c>
      <c r="CT71" s="447"/>
      <c r="CU71" s="447"/>
      <c r="CV71" s="447"/>
      <c r="CW71" s="447"/>
      <c r="CX71" s="447"/>
      <c r="CY71" s="447"/>
      <c r="CZ71" s="447"/>
      <c r="DA71" s="447"/>
      <c r="DB71" s="447"/>
      <c r="DC71" s="447"/>
      <c r="DD71" s="447"/>
      <c r="DE71" s="448"/>
      <c r="DF71" s="495">
        <v>9209.79</v>
      </c>
      <c r="DG71" s="496"/>
      <c r="DH71" s="496"/>
      <c r="DI71" s="496"/>
      <c r="DJ71" s="496"/>
      <c r="DK71" s="496"/>
      <c r="DL71" s="496"/>
      <c r="DM71" s="496"/>
      <c r="DN71" s="496"/>
      <c r="DO71" s="496"/>
      <c r="DP71" s="496"/>
      <c r="DQ71" s="496"/>
      <c r="DR71" s="497"/>
      <c r="DS71" s="498">
        <v>0</v>
      </c>
      <c r="DT71" s="499"/>
      <c r="DU71" s="499"/>
      <c r="DV71" s="499"/>
      <c r="DW71" s="499"/>
      <c r="DX71" s="499"/>
      <c r="DY71" s="499"/>
      <c r="DZ71" s="499"/>
      <c r="EA71" s="499"/>
      <c r="EB71" s="499"/>
      <c r="EC71" s="499"/>
      <c r="ED71" s="499"/>
      <c r="EE71" s="500"/>
      <c r="EF71" s="498">
        <v>0</v>
      </c>
      <c r="EG71" s="499"/>
      <c r="EH71" s="499"/>
      <c r="EI71" s="499"/>
      <c r="EJ71" s="499"/>
      <c r="EK71" s="499"/>
      <c r="EL71" s="499"/>
      <c r="EM71" s="499"/>
      <c r="EN71" s="499"/>
      <c r="EO71" s="499"/>
      <c r="EP71" s="499"/>
      <c r="EQ71" s="499"/>
      <c r="ER71" s="500"/>
      <c r="ES71" s="440" t="s">
        <v>43</v>
      </c>
      <c r="ET71" s="441"/>
      <c r="EU71" s="441"/>
      <c r="EV71" s="441"/>
      <c r="EW71" s="441"/>
      <c r="EX71" s="441"/>
      <c r="EY71" s="441"/>
      <c r="EZ71" s="441"/>
      <c r="FA71" s="441"/>
      <c r="FB71" s="441"/>
      <c r="FC71" s="441"/>
      <c r="FD71" s="441"/>
      <c r="FE71" s="443"/>
      <c r="FF71" s="271">
        <f>9209.79</f>
        <v>9209.79</v>
      </c>
      <c r="FG71" s="272">
        <f t="shared" si="0"/>
        <v>0</v>
      </c>
      <c r="FH71" s="166"/>
      <c r="FI71" s="166"/>
      <c r="FJ71" s="166"/>
      <c r="FK71" s="139"/>
      <c r="FO71" s="114"/>
    </row>
    <row r="72" spans="1:163" ht="10.5" customHeight="1">
      <c r="A72" s="493" t="s">
        <v>94</v>
      </c>
      <c r="B72" s="494"/>
      <c r="C72" s="494"/>
      <c r="D72" s="494"/>
      <c r="E72" s="494"/>
      <c r="F72" s="494"/>
      <c r="G72" s="494"/>
      <c r="H72" s="494"/>
      <c r="I72" s="494"/>
      <c r="J72" s="494"/>
      <c r="K72" s="494"/>
      <c r="L72" s="494"/>
      <c r="M72" s="494"/>
      <c r="N72" s="494"/>
      <c r="O72" s="494"/>
      <c r="P72" s="494"/>
      <c r="Q72" s="494"/>
      <c r="R72" s="494"/>
      <c r="S72" s="494"/>
      <c r="T72" s="494"/>
      <c r="U72" s="494"/>
      <c r="V72" s="494"/>
      <c r="W72" s="494"/>
      <c r="X72" s="494"/>
      <c r="Y72" s="494"/>
      <c r="Z72" s="494"/>
      <c r="AA72" s="494"/>
      <c r="AB72" s="494"/>
      <c r="AC72" s="494"/>
      <c r="AD72" s="494"/>
      <c r="AE72" s="494"/>
      <c r="AF72" s="494"/>
      <c r="AG72" s="494"/>
      <c r="AH72" s="494"/>
      <c r="AI72" s="494"/>
      <c r="AJ72" s="494"/>
      <c r="AK72" s="494"/>
      <c r="AL72" s="494"/>
      <c r="AM72" s="494"/>
      <c r="AN72" s="494"/>
      <c r="AO72" s="494"/>
      <c r="AP72" s="494"/>
      <c r="AQ72" s="494"/>
      <c r="AR72" s="494"/>
      <c r="AS72" s="494"/>
      <c r="AT72" s="494"/>
      <c r="AU72" s="494"/>
      <c r="AV72" s="494"/>
      <c r="AW72" s="494"/>
      <c r="AX72" s="494"/>
      <c r="AY72" s="494"/>
      <c r="AZ72" s="494"/>
      <c r="BA72" s="494"/>
      <c r="BB72" s="494"/>
      <c r="BC72" s="494"/>
      <c r="BD72" s="494"/>
      <c r="BE72" s="494"/>
      <c r="BF72" s="494"/>
      <c r="BG72" s="494"/>
      <c r="BH72" s="494"/>
      <c r="BI72" s="494"/>
      <c r="BJ72" s="494"/>
      <c r="BK72" s="494"/>
      <c r="BL72" s="494"/>
      <c r="BM72" s="494"/>
      <c r="BN72" s="494"/>
      <c r="BO72" s="494"/>
      <c r="BP72" s="494"/>
      <c r="BQ72" s="494"/>
      <c r="BR72" s="494"/>
      <c r="BS72" s="494"/>
      <c r="BT72" s="494"/>
      <c r="BU72" s="494"/>
      <c r="BV72" s="494"/>
      <c r="BW72" s="494"/>
      <c r="BX72" s="428" t="s">
        <v>95</v>
      </c>
      <c r="BY72" s="429"/>
      <c r="BZ72" s="429"/>
      <c r="CA72" s="429"/>
      <c r="CB72" s="429"/>
      <c r="CC72" s="429"/>
      <c r="CD72" s="429"/>
      <c r="CE72" s="430"/>
      <c r="CF72" s="431" t="s">
        <v>96</v>
      </c>
      <c r="CG72" s="429"/>
      <c r="CH72" s="429"/>
      <c r="CI72" s="429"/>
      <c r="CJ72" s="429"/>
      <c r="CK72" s="429"/>
      <c r="CL72" s="429"/>
      <c r="CM72" s="429"/>
      <c r="CN72" s="429"/>
      <c r="CO72" s="429"/>
      <c r="CP72" s="429"/>
      <c r="CQ72" s="429"/>
      <c r="CR72" s="430"/>
      <c r="CS72" s="431"/>
      <c r="CT72" s="429"/>
      <c r="CU72" s="429"/>
      <c r="CV72" s="429"/>
      <c r="CW72" s="429"/>
      <c r="CX72" s="429"/>
      <c r="CY72" s="429"/>
      <c r="CZ72" s="429"/>
      <c r="DA72" s="429"/>
      <c r="DB72" s="429"/>
      <c r="DC72" s="429"/>
      <c r="DD72" s="429"/>
      <c r="DE72" s="430"/>
      <c r="DF72" s="413"/>
      <c r="DG72" s="414"/>
      <c r="DH72" s="414"/>
      <c r="DI72" s="414"/>
      <c r="DJ72" s="414"/>
      <c r="DK72" s="414"/>
      <c r="DL72" s="414"/>
      <c r="DM72" s="414"/>
      <c r="DN72" s="414"/>
      <c r="DO72" s="414"/>
      <c r="DP72" s="414"/>
      <c r="DQ72" s="414"/>
      <c r="DR72" s="450"/>
      <c r="DS72" s="413"/>
      <c r="DT72" s="414"/>
      <c r="DU72" s="414"/>
      <c r="DV72" s="414"/>
      <c r="DW72" s="414"/>
      <c r="DX72" s="414"/>
      <c r="DY72" s="414"/>
      <c r="DZ72" s="414"/>
      <c r="EA72" s="414"/>
      <c r="EB72" s="414"/>
      <c r="EC72" s="414"/>
      <c r="ED72" s="414"/>
      <c r="EE72" s="450"/>
      <c r="EF72" s="413"/>
      <c r="EG72" s="414"/>
      <c r="EH72" s="414"/>
      <c r="EI72" s="414"/>
      <c r="EJ72" s="414"/>
      <c r="EK72" s="414"/>
      <c r="EL72" s="414"/>
      <c r="EM72" s="414"/>
      <c r="EN72" s="414"/>
      <c r="EO72" s="414"/>
      <c r="EP72" s="414"/>
      <c r="EQ72" s="414"/>
      <c r="ER72" s="450"/>
      <c r="ES72" s="413" t="s">
        <v>43</v>
      </c>
      <c r="ET72" s="414"/>
      <c r="EU72" s="414"/>
      <c r="EV72" s="414"/>
      <c r="EW72" s="414"/>
      <c r="EX72" s="414"/>
      <c r="EY72" s="414"/>
      <c r="EZ72" s="414"/>
      <c r="FA72" s="414"/>
      <c r="FB72" s="414"/>
      <c r="FC72" s="414"/>
      <c r="FD72" s="414"/>
      <c r="FE72" s="415"/>
      <c r="FF72" s="140"/>
      <c r="FG72" s="272">
        <f t="shared" si="0"/>
        <v>0</v>
      </c>
    </row>
    <row r="73" spans="1:163" ht="10.5" customHeight="1">
      <c r="A73" s="465" t="s">
        <v>97</v>
      </c>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6"/>
      <c r="BB73" s="466"/>
      <c r="BC73" s="466"/>
      <c r="BD73" s="466"/>
      <c r="BE73" s="466"/>
      <c r="BF73" s="466"/>
      <c r="BG73" s="466"/>
      <c r="BH73" s="466"/>
      <c r="BI73" s="466"/>
      <c r="BJ73" s="466"/>
      <c r="BK73" s="466"/>
      <c r="BL73" s="466"/>
      <c r="BM73" s="466"/>
      <c r="BN73" s="466"/>
      <c r="BO73" s="466"/>
      <c r="BP73" s="466"/>
      <c r="BQ73" s="466"/>
      <c r="BR73" s="466"/>
      <c r="BS73" s="466"/>
      <c r="BT73" s="466"/>
      <c r="BU73" s="466"/>
      <c r="BV73" s="466"/>
      <c r="BW73" s="466"/>
      <c r="BX73" s="428" t="s">
        <v>98</v>
      </c>
      <c r="BY73" s="429"/>
      <c r="BZ73" s="429"/>
      <c r="CA73" s="429"/>
      <c r="CB73" s="429"/>
      <c r="CC73" s="429"/>
      <c r="CD73" s="429"/>
      <c r="CE73" s="430"/>
      <c r="CF73" s="431" t="s">
        <v>99</v>
      </c>
      <c r="CG73" s="429"/>
      <c r="CH73" s="429"/>
      <c r="CI73" s="429"/>
      <c r="CJ73" s="429"/>
      <c r="CK73" s="429"/>
      <c r="CL73" s="429"/>
      <c r="CM73" s="429"/>
      <c r="CN73" s="429"/>
      <c r="CO73" s="429"/>
      <c r="CP73" s="429"/>
      <c r="CQ73" s="429"/>
      <c r="CR73" s="430"/>
      <c r="CS73" s="431"/>
      <c r="CT73" s="429"/>
      <c r="CU73" s="429"/>
      <c r="CV73" s="429"/>
      <c r="CW73" s="429"/>
      <c r="CX73" s="429"/>
      <c r="CY73" s="429"/>
      <c r="CZ73" s="429"/>
      <c r="DA73" s="429"/>
      <c r="DB73" s="429"/>
      <c r="DC73" s="429"/>
      <c r="DD73" s="429"/>
      <c r="DE73" s="430"/>
      <c r="DF73" s="413"/>
      <c r="DG73" s="414"/>
      <c r="DH73" s="414"/>
      <c r="DI73" s="414"/>
      <c r="DJ73" s="414"/>
      <c r="DK73" s="414"/>
      <c r="DL73" s="414"/>
      <c r="DM73" s="414"/>
      <c r="DN73" s="414"/>
      <c r="DO73" s="414"/>
      <c r="DP73" s="414"/>
      <c r="DQ73" s="414"/>
      <c r="DR73" s="450"/>
      <c r="DS73" s="413"/>
      <c r="DT73" s="414"/>
      <c r="DU73" s="414"/>
      <c r="DV73" s="414"/>
      <c r="DW73" s="414"/>
      <c r="DX73" s="414"/>
      <c r="DY73" s="414"/>
      <c r="DZ73" s="414"/>
      <c r="EA73" s="414"/>
      <c r="EB73" s="414"/>
      <c r="EC73" s="414"/>
      <c r="ED73" s="414"/>
      <c r="EE73" s="450"/>
      <c r="EF73" s="413"/>
      <c r="EG73" s="414"/>
      <c r="EH73" s="414"/>
      <c r="EI73" s="414"/>
      <c r="EJ73" s="414"/>
      <c r="EK73" s="414"/>
      <c r="EL73" s="414"/>
      <c r="EM73" s="414"/>
      <c r="EN73" s="414"/>
      <c r="EO73" s="414"/>
      <c r="EP73" s="414"/>
      <c r="EQ73" s="414"/>
      <c r="ER73" s="450"/>
      <c r="ES73" s="413" t="s">
        <v>43</v>
      </c>
      <c r="ET73" s="414"/>
      <c r="EU73" s="414"/>
      <c r="EV73" s="414"/>
      <c r="EW73" s="414"/>
      <c r="EX73" s="414"/>
      <c r="EY73" s="414"/>
      <c r="EZ73" s="414"/>
      <c r="FA73" s="414"/>
      <c r="FB73" s="414"/>
      <c r="FC73" s="414"/>
      <c r="FD73" s="414"/>
      <c r="FE73" s="415"/>
      <c r="FF73" s="140"/>
      <c r="FG73" s="272">
        <f t="shared" si="0"/>
        <v>0</v>
      </c>
    </row>
    <row r="74" spans="1:167" ht="21" customHeight="1">
      <c r="A74" s="465" t="s">
        <v>100</v>
      </c>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6"/>
      <c r="BB74" s="466"/>
      <c r="BC74" s="466"/>
      <c r="BD74" s="466"/>
      <c r="BE74" s="466"/>
      <c r="BF74" s="466"/>
      <c r="BG74" s="466"/>
      <c r="BH74" s="466"/>
      <c r="BI74" s="466"/>
      <c r="BJ74" s="466"/>
      <c r="BK74" s="466"/>
      <c r="BL74" s="466"/>
      <c r="BM74" s="466"/>
      <c r="BN74" s="466"/>
      <c r="BO74" s="466"/>
      <c r="BP74" s="466"/>
      <c r="BQ74" s="466"/>
      <c r="BR74" s="466"/>
      <c r="BS74" s="466"/>
      <c r="BT74" s="466"/>
      <c r="BU74" s="466"/>
      <c r="BV74" s="466"/>
      <c r="BW74" s="466"/>
      <c r="BX74" s="428" t="s">
        <v>101</v>
      </c>
      <c r="BY74" s="429"/>
      <c r="BZ74" s="429"/>
      <c r="CA74" s="429"/>
      <c r="CB74" s="429"/>
      <c r="CC74" s="429"/>
      <c r="CD74" s="429"/>
      <c r="CE74" s="430"/>
      <c r="CF74" s="431" t="s">
        <v>102</v>
      </c>
      <c r="CG74" s="429"/>
      <c r="CH74" s="429"/>
      <c r="CI74" s="429"/>
      <c r="CJ74" s="429"/>
      <c r="CK74" s="429"/>
      <c r="CL74" s="429"/>
      <c r="CM74" s="429"/>
      <c r="CN74" s="429"/>
      <c r="CO74" s="429"/>
      <c r="CP74" s="429"/>
      <c r="CQ74" s="429"/>
      <c r="CR74" s="430"/>
      <c r="CS74" s="431"/>
      <c r="CT74" s="429"/>
      <c r="CU74" s="429"/>
      <c r="CV74" s="429"/>
      <c r="CW74" s="429"/>
      <c r="CX74" s="429"/>
      <c r="CY74" s="429"/>
      <c r="CZ74" s="429"/>
      <c r="DA74" s="429"/>
      <c r="DB74" s="429"/>
      <c r="DC74" s="429"/>
      <c r="DD74" s="429"/>
      <c r="DE74" s="430"/>
      <c r="DF74" s="413"/>
      <c r="DG74" s="414"/>
      <c r="DH74" s="414"/>
      <c r="DI74" s="414"/>
      <c r="DJ74" s="414"/>
      <c r="DK74" s="414"/>
      <c r="DL74" s="414"/>
      <c r="DM74" s="414"/>
      <c r="DN74" s="414"/>
      <c r="DO74" s="414"/>
      <c r="DP74" s="414"/>
      <c r="DQ74" s="414"/>
      <c r="DR74" s="450"/>
      <c r="DS74" s="413"/>
      <c r="DT74" s="414"/>
      <c r="DU74" s="414"/>
      <c r="DV74" s="414"/>
      <c r="DW74" s="414"/>
      <c r="DX74" s="414"/>
      <c r="DY74" s="414"/>
      <c r="DZ74" s="414"/>
      <c r="EA74" s="414"/>
      <c r="EB74" s="414"/>
      <c r="EC74" s="414"/>
      <c r="ED74" s="414"/>
      <c r="EE74" s="450"/>
      <c r="EF74" s="413"/>
      <c r="EG74" s="414"/>
      <c r="EH74" s="414"/>
      <c r="EI74" s="414"/>
      <c r="EJ74" s="414"/>
      <c r="EK74" s="414"/>
      <c r="EL74" s="414"/>
      <c r="EM74" s="414"/>
      <c r="EN74" s="414"/>
      <c r="EO74" s="414"/>
      <c r="EP74" s="414"/>
      <c r="EQ74" s="414"/>
      <c r="ER74" s="450"/>
      <c r="ES74" s="413" t="s">
        <v>43</v>
      </c>
      <c r="ET74" s="414"/>
      <c r="EU74" s="414"/>
      <c r="EV74" s="414"/>
      <c r="EW74" s="414"/>
      <c r="EX74" s="414"/>
      <c r="EY74" s="414"/>
      <c r="EZ74" s="414"/>
      <c r="FA74" s="414"/>
      <c r="FB74" s="414"/>
      <c r="FC74" s="414"/>
      <c r="FD74" s="414"/>
      <c r="FE74" s="415"/>
      <c r="FF74" s="140"/>
      <c r="FG74" s="272">
        <f t="shared" si="0"/>
        <v>0</v>
      </c>
      <c r="FH74" s="166"/>
      <c r="FI74" s="166"/>
      <c r="FJ74" s="166"/>
      <c r="FK74" s="115"/>
    </row>
    <row r="75" spans="1:163" ht="21.75" customHeight="1">
      <c r="A75" s="463" t="s">
        <v>103</v>
      </c>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64"/>
      <c r="BJ75" s="464"/>
      <c r="BK75" s="464"/>
      <c r="BL75" s="464"/>
      <c r="BM75" s="464"/>
      <c r="BN75" s="464"/>
      <c r="BO75" s="464"/>
      <c r="BP75" s="464"/>
      <c r="BQ75" s="464"/>
      <c r="BR75" s="464"/>
      <c r="BS75" s="464"/>
      <c r="BT75" s="464"/>
      <c r="BU75" s="464"/>
      <c r="BV75" s="464"/>
      <c r="BW75" s="464"/>
      <c r="BX75" s="428" t="s">
        <v>104</v>
      </c>
      <c r="BY75" s="429"/>
      <c r="BZ75" s="429"/>
      <c r="CA75" s="429"/>
      <c r="CB75" s="429"/>
      <c r="CC75" s="429"/>
      <c r="CD75" s="429"/>
      <c r="CE75" s="430"/>
      <c r="CF75" s="431" t="s">
        <v>102</v>
      </c>
      <c r="CG75" s="429"/>
      <c r="CH75" s="429"/>
      <c r="CI75" s="429"/>
      <c r="CJ75" s="429"/>
      <c r="CK75" s="429"/>
      <c r="CL75" s="429"/>
      <c r="CM75" s="429"/>
      <c r="CN75" s="429"/>
      <c r="CO75" s="429"/>
      <c r="CP75" s="429"/>
      <c r="CQ75" s="429"/>
      <c r="CR75" s="430"/>
      <c r="CS75" s="431"/>
      <c r="CT75" s="429"/>
      <c r="CU75" s="429"/>
      <c r="CV75" s="429"/>
      <c r="CW75" s="429"/>
      <c r="CX75" s="429"/>
      <c r="CY75" s="429"/>
      <c r="CZ75" s="429"/>
      <c r="DA75" s="429"/>
      <c r="DB75" s="429"/>
      <c r="DC75" s="429"/>
      <c r="DD75" s="429"/>
      <c r="DE75" s="430"/>
      <c r="DF75" s="413"/>
      <c r="DG75" s="414"/>
      <c r="DH75" s="414"/>
      <c r="DI75" s="414"/>
      <c r="DJ75" s="414"/>
      <c r="DK75" s="414"/>
      <c r="DL75" s="414"/>
      <c r="DM75" s="414"/>
      <c r="DN75" s="414"/>
      <c r="DO75" s="414"/>
      <c r="DP75" s="414"/>
      <c r="DQ75" s="414"/>
      <c r="DR75" s="450"/>
      <c r="DS75" s="413"/>
      <c r="DT75" s="414"/>
      <c r="DU75" s="414"/>
      <c r="DV75" s="414"/>
      <c r="DW75" s="414"/>
      <c r="DX75" s="414"/>
      <c r="DY75" s="414"/>
      <c r="DZ75" s="414"/>
      <c r="EA75" s="414"/>
      <c r="EB75" s="414"/>
      <c r="EC75" s="414"/>
      <c r="ED75" s="414"/>
      <c r="EE75" s="450"/>
      <c r="EF75" s="413"/>
      <c r="EG75" s="414"/>
      <c r="EH75" s="414"/>
      <c r="EI75" s="414"/>
      <c r="EJ75" s="414"/>
      <c r="EK75" s="414"/>
      <c r="EL75" s="414"/>
      <c r="EM75" s="414"/>
      <c r="EN75" s="414"/>
      <c r="EO75" s="414"/>
      <c r="EP75" s="414"/>
      <c r="EQ75" s="414"/>
      <c r="ER75" s="450"/>
      <c r="ES75" s="413" t="s">
        <v>43</v>
      </c>
      <c r="ET75" s="414"/>
      <c r="EU75" s="414"/>
      <c r="EV75" s="414"/>
      <c r="EW75" s="414"/>
      <c r="EX75" s="414"/>
      <c r="EY75" s="414"/>
      <c r="EZ75" s="414"/>
      <c r="FA75" s="414"/>
      <c r="FB75" s="414"/>
      <c r="FC75" s="414"/>
      <c r="FD75" s="414"/>
      <c r="FE75" s="415"/>
      <c r="FF75" s="140"/>
      <c r="FG75" s="272">
        <f t="shared" si="0"/>
        <v>0</v>
      </c>
    </row>
    <row r="76" spans="1:165" ht="10.5" customHeight="1">
      <c r="A76" s="463" t="s">
        <v>105</v>
      </c>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4"/>
      <c r="BB76" s="464"/>
      <c r="BC76" s="464"/>
      <c r="BD76" s="464"/>
      <c r="BE76" s="464"/>
      <c r="BF76" s="464"/>
      <c r="BG76" s="464"/>
      <c r="BH76" s="464"/>
      <c r="BI76" s="464"/>
      <c r="BJ76" s="464"/>
      <c r="BK76" s="464"/>
      <c r="BL76" s="464"/>
      <c r="BM76" s="464"/>
      <c r="BN76" s="464"/>
      <c r="BO76" s="464"/>
      <c r="BP76" s="464"/>
      <c r="BQ76" s="464"/>
      <c r="BR76" s="464"/>
      <c r="BS76" s="464"/>
      <c r="BT76" s="464"/>
      <c r="BU76" s="464"/>
      <c r="BV76" s="464"/>
      <c r="BW76" s="464"/>
      <c r="BX76" s="428" t="s">
        <v>106</v>
      </c>
      <c r="BY76" s="429"/>
      <c r="BZ76" s="429"/>
      <c r="CA76" s="429"/>
      <c r="CB76" s="429"/>
      <c r="CC76" s="429"/>
      <c r="CD76" s="429"/>
      <c r="CE76" s="430"/>
      <c r="CF76" s="431" t="s">
        <v>102</v>
      </c>
      <c r="CG76" s="429"/>
      <c r="CH76" s="429"/>
      <c r="CI76" s="429"/>
      <c r="CJ76" s="429"/>
      <c r="CK76" s="429"/>
      <c r="CL76" s="429"/>
      <c r="CM76" s="429"/>
      <c r="CN76" s="429"/>
      <c r="CO76" s="429"/>
      <c r="CP76" s="429"/>
      <c r="CQ76" s="429"/>
      <c r="CR76" s="430"/>
      <c r="CS76" s="431"/>
      <c r="CT76" s="429"/>
      <c r="CU76" s="429"/>
      <c r="CV76" s="429"/>
      <c r="CW76" s="429"/>
      <c r="CX76" s="429"/>
      <c r="CY76" s="429"/>
      <c r="CZ76" s="429"/>
      <c r="DA76" s="429"/>
      <c r="DB76" s="429"/>
      <c r="DC76" s="429"/>
      <c r="DD76" s="429"/>
      <c r="DE76" s="430"/>
      <c r="DF76" s="413"/>
      <c r="DG76" s="414"/>
      <c r="DH76" s="414"/>
      <c r="DI76" s="414"/>
      <c r="DJ76" s="414"/>
      <c r="DK76" s="414"/>
      <c r="DL76" s="414"/>
      <c r="DM76" s="414"/>
      <c r="DN76" s="414"/>
      <c r="DO76" s="414"/>
      <c r="DP76" s="414"/>
      <c r="DQ76" s="414"/>
      <c r="DR76" s="450"/>
      <c r="DS76" s="413"/>
      <c r="DT76" s="414"/>
      <c r="DU76" s="414"/>
      <c r="DV76" s="414"/>
      <c r="DW76" s="414"/>
      <c r="DX76" s="414"/>
      <c r="DY76" s="414"/>
      <c r="DZ76" s="414"/>
      <c r="EA76" s="414"/>
      <c r="EB76" s="414"/>
      <c r="EC76" s="414"/>
      <c r="ED76" s="414"/>
      <c r="EE76" s="450"/>
      <c r="EF76" s="413"/>
      <c r="EG76" s="414"/>
      <c r="EH76" s="414"/>
      <c r="EI76" s="414"/>
      <c r="EJ76" s="414"/>
      <c r="EK76" s="414"/>
      <c r="EL76" s="414"/>
      <c r="EM76" s="414"/>
      <c r="EN76" s="414"/>
      <c r="EO76" s="414"/>
      <c r="EP76" s="414"/>
      <c r="EQ76" s="414"/>
      <c r="ER76" s="450"/>
      <c r="ES76" s="413" t="s">
        <v>43</v>
      </c>
      <c r="ET76" s="414"/>
      <c r="EU76" s="414"/>
      <c r="EV76" s="414"/>
      <c r="EW76" s="414"/>
      <c r="EX76" s="414"/>
      <c r="EY76" s="414"/>
      <c r="EZ76" s="414"/>
      <c r="FA76" s="414"/>
      <c r="FB76" s="414"/>
      <c r="FC76" s="414"/>
      <c r="FD76" s="414"/>
      <c r="FE76" s="415"/>
      <c r="FF76" s="140"/>
      <c r="FG76" s="272">
        <f t="shared" si="0"/>
        <v>0</v>
      </c>
      <c r="FI76" s="116"/>
    </row>
    <row r="77" spans="1:163" ht="10.5" customHeight="1">
      <c r="A77" s="478" t="s">
        <v>107</v>
      </c>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79"/>
      <c r="BN77" s="479"/>
      <c r="BO77" s="479"/>
      <c r="BP77" s="479"/>
      <c r="BQ77" s="479"/>
      <c r="BR77" s="479"/>
      <c r="BS77" s="479"/>
      <c r="BT77" s="479"/>
      <c r="BU77" s="479"/>
      <c r="BV77" s="479"/>
      <c r="BW77" s="479"/>
      <c r="BX77" s="428" t="s">
        <v>108</v>
      </c>
      <c r="BY77" s="429"/>
      <c r="BZ77" s="429"/>
      <c r="CA77" s="429"/>
      <c r="CB77" s="429"/>
      <c r="CC77" s="429"/>
      <c r="CD77" s="429"/>
      <c r="CE77" s="430"/>
      <c r="CF77" s="431" t="s">
        <v>109</v>
      </c>
      <c r="CG77" s="429"/>
      <c r="CH77" s="429"/>
      <c r="CI77" s="429"/>
      <c r="CJ77" s="429"/>
      <c r="CK77" s="429"/>
      <c r="CL77" s="429"/>
      <c r="CM77" s="429"/>
      <c r="CN77" s="429"/>
      <c r="CO77" s="429"/>
      <c r="CP77" s="429"/>
      <c r="CQ77" s="429"/>
      <c r="CR77" s="430"/>
      <c r="CS77" s="431"/>
      <c r="CT77" s="429"/>
      <c r="CU77" s="429"/>
      <c r="CV77" s="429"/>
      <c r="CW77" s="429"/>
      <c r="CX77" s="429"/>
      <c r="CY77" s="429"/>
      <c r="CZ77" s="429"/>
      <c r="DA77" s="429"/>
      <c r="DB77" s="429"/>
      <c r="DC77" s="429"/>
      <c r="DD77" s="429"/>
      <c r="DE77" s="430"/>
      <c r="DF77" s="487">
        <f>DF78</f>
        <v>46626</v>
      </c>
      <c r="DG77" s="488"/>
      <c r="DH77" s="488"/>
      <c r="DI77" s="488"/>
      <c r="DJ77" s="488"/>
      <c r="DK77" s="488"/>
      <c r="DL77" s="488"/>
      <c r="DM77" s="488"/>
      <c r="DN77" s="488"/>
      <c r="DO77" s="488"/>
      <c r="DP77" s="488"/>
      <c r="DQ77" s="488"/>
      <c r="DR77" s="489"/>
      <c r="DS77" s="490">
        <f>DS78</f>
        <v>0</v>
      </c>
      <c r="DT77" s="491"/>
      <c r="DU77" s="491"/>
      <c r="DV77" s="491"/>
      <c r="DW77" s="491"/>
      <c r="DX77" s="491"/>
      <c r="DY77" s="491"/>
      <c r="DZ77" s="491"/>
      <c r="EA77" s="491"/>
      <c r="EB77" s="491"/>
      <c r="EC77" s="491"/>
      <c r="ED77" s="491"/>
      <c r="EE77" s="492"/>
      <c r="EF77" s="490">
        <f>EF78</f>
        <v>0</v>
      </c>
      <c r="EG77" s="491"/>
      <c r="EH77" s="491"/>
      <c r="EI77" s="491"/>
      <c r="EJ77" s="491"/>
      <c r="EK77" s="491"/>
      <c r="EL77" s="491"/>
      <c r="EM77" s="491"/>
      <c r="EN77" s="491"/>
      <c r="EO77" s="491"/>
      <c r="EP77" s="491"/>
      <c r="EQ77" s="491"/>
      <c r="ER77" s="492"/>
      <c r="ES77" s="413" t="s">
        <v>43</v>
      </c>
      <c r="ET77" s="414"/>
      <c r="EU77" s="414"/>
      <c r="EV77" s="414"/>
      <c r="EW77" s="414"/>
      <c r="EX77" s="414"/>
      <c r="EY77" s="414"/>
      <c r="EZ77" s="414"/>
      <c r="FA77" s="414"/>
      <c r="FB77" s="414"/>
      <c r="FC77" s="414"/>
      <c r="FD77" s="414"/>
      <c r="FE77" s="415"/>
      <c r="FF77" s="140"/>
      <c r="FG77" s="272"/>
    </row>
    <row r="78" spans="1:163" ht="21.75" customHeight="1">
      <c r="A78" s="465" t="s">
        <v>110</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6"/>
      <c r="BP78" s="466"/>
      <c r="BQ78" s="466"/>
      <c r="BR78" s="466"/>
      <c r="BS78" s="466"/>
      <c r="BT78" s="466"/>
      <c r="BU78" s="466"/>
      <c r="BV78" s="466"/>
      <c r="BW78" s="466"/>
      <c r="BX78" s="428" t="s">
        <v>111</v>
      </c>
      <c r="BY78" s="429"/>
      <c r="BZ78" s="429"/>
      <c r="CA78" s="429"/>
      <c r="CB78" s="429"/>
      <c r="CC78" s="429"/>
      <c r="CD78" s="429"/>
      <c r="CE78" s="430"/>
      <c r="CF78" s="431" t="s">
        <v>112</v>
      </c>
      <c r="CG78" s="429"/>
      <c r="CH78" s="429"/>
      <c r="CI78" s="429"/>
      <c r="CJ78" s="429"/>
      <c r="CK78" s="429"/>
      <c r="CL78" s="429"/>
      <c r="CM78" s="429"/>
      <c r="CN78" s="429"/>
      <c r="CO78" s="429"/>
      <c r="CP78" s="429"/>
      <c r="CQ78" s="429"/>
      <c r="CR78" s="430"/>
      <c r="CS78" s="431"/>
      <c r="CT78" s="429"/>
      <c r="CU78" s="429"/>
      <c r="CV78" s="429"/>
      <c r="CW78" s="429"/>
      <c r="CX78" s="429"/>
      <c r="CY78" s="429"/>
      <c r="CZ78" s="429"/>
      <c r="DA78" s="429"/>
      <c r="DB78" s="429"/>
      <c r="DC78" s="429"/>
      <c r="DD78" s="429"/>
      <c r="DE78" s="430"/>
      <c r="DF78" s="482">
        <f>DF79</f>
        <v>46626</v>
      </c>
      <c r="DG78" s="483"/>
      <c r="DH78" s="483"/>
      <c r="DI78" s="483"/>
      <c r="DJ78" s="483"/>
      <c r="DK78" s="483"/>
      <c r="DL78" s="483"/>
      <c r="DM78" s="483"/>
      <c r="DN78" s="483"/>
      <c r="DO78" s="483"/>
      <c r="DP78" s="483"/>
      <c r="DQ78" s="483"/>
      <c r="DR78" s="484"/>
      <c r="DS78" s="477">
        <f>DS79</f>
        <v>0</v>
      </c>
      <c r="DT78" s="485"/>
      <c r="DU78" s="485"/>
      <c r="DV78" s="485"/>
      <c r="DW78" s="485"/>
      <c r="DX78" s="485"/>
      <c r="DY78" s="485"/>
      <c r="DZ78" s="485"/>
      <c r="EA78" s="485"/>
      <c r="EB78" s="485"/>
      <c r="EC78" s="485"/>
      <c r="ED78" s="485"/>
      <c r="EE78" s="486"/>
      <c r="EF78" s="477">
        <f>EF79</f>
        <v>0</v>
      </c>
      <c r="EG78" s="485"/>
      <c r="EH78" s="485"/>
      <c r="EI78" s="485"/>
      <c r="EJ78" s="485"/>
      <c r="EK78" s="485"/>
      <c r="EL78" s="485"/>
      <c r="EM78" s="485"/>
      <c r="EN78" s="485"/>
      <c r="EO78" s="485"/>
      <c r="EP78" s="485"/>
      <c r="EQ78" s="485"/>
      <c r="ER78" s="486"/>
      <c r="ES78" s="413" t="s">
        <v>43</v>
      </c>
      <c r="ET78" s="414"/>
      <c r="EU78" s="414"/>
      <c r="EV78" s="414"/>
      <c r="EW78" s="414"/>
      <c r="EX78" s="414"/>
      <c r="EY78" s="414"/>
      <c r="EZ78" s="414"/>
      <c r="FA78" s="414"/>
      <c r="FB78" s="414"/>
      <c r="FC78" s="414"/>
      <c r="FD78" s="414"/>
      <c r="FE78" s="415"/>
      <c r="FF78" s="140"/>
      <c r="FG78" s="272"/>
    </row>
    <row r="79" spans="1:167" ht="33.75" customHeight="1">
      <c r="A79" s="463" t="s">
        <v>113</v>
      </c>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464"/>
      <c r="BA79" s="464"/>
      <c r="BB79" s="464"/>
      <c r="BC79" s="464"/>
      <c r="BD79" s="464"/>
      <c r="BE79" s="464"/>
      <c r="BF79" s="464"/>
      <c r="BG79" s="464"/>
      <c r="BH79" s="464"/>
      <c r="BI79" s="464"/>
      <c r="BJ79" s="464"/>
      <c r="BK79" s="464"/>
      <c r="BL79" s="464"/>
      <c r="BM79" s="464"/>
      <c r="BN79" s="464"/>
      <c r="BO79" s="464"/>
      <c r="BP79" s="464"/>
      <c r="BQ79" s="464"/>
      <c r="BR79" s="464"/>
      <c r="BS79" s="464"/>
      <c r="BT79" s="464"/>
      <c r="BU79" s="464"/>
      <c r="BV79" s="464"/>
      <c r="BW79" s="464"/>
      <c r="BX79" s="428" t="s">
        <v>114</v>
      </c>
      <c r="BY79" s="429"/>
      <c r="BZ79" s="429"/>
      <c r="CA79" s="429"/>
      <c r="CB79" s="429"/>
      <c r="CC79" s="429"/>
      <c r="CD79" s="429"/>
      <c r="CE79" s="430"/>
      <c r="CF79" s="431" t="s">
        <v>115</v>
      </c>
      <c r="CG79" s="429"/>
      <c r="CH79" s="429"/>
      <c r="CI79" s="429"/>
      <c r="CJ79" s="429"/>
      <c r="CK79" s="429"/>
      <c r="CL79" s="429"/>
      <c r="CM79" s="429"/>
      <c r="CN79" s="429"/>
      <c r="CO79" s="429"/>
      <c r="CP79" s="429"/>
      <c r="CQ79" s="429"/>
      <c r="CR79" s="430"/>
      <c r="CS79" s="431" t="s">
        <v>530</v>
      </c>
      <c r="CT79" s="429"/>
      <c r="CU79" s="429"/>
      <c r="CV79" s="429"/>
      <c r="CW79" s="429"/>
      <c r="CX79" s="429"/>
      <c r="CY79" s="429"/>
      <c r="CZ79" s="429"/>
      <c r="DA79" s="429"/>
      <c r="DB79" s="429"/>
      <c r="DC79" s="429"/>
      <c r="DD79" s="429"/>
      <c r="DE79" s="430"/>
      <c r="DF79" s="482">
        <f>'Раздел  обоснование 2022сш'!E91</f>
        <v>46626</v>
      </c>
      <c r="DG79" s="483"/>
      <c r="DH79" s="483"/>
      <c r="DI79" s="483"/>
      <c r="DJ79" s="483"/>
      <c r="DK79" s="483"/>
      <c r="DL79" s="483"/>
      <c r="DM79" s="483"/>
      <c r="DN79" s="483"/>
      <c r="DO79" s="483"/>
      <c r="DP79" s="483"/>
      <c r="DQ79" s="483"/>
      <c r="DR79" s="484"/>
      <c r="DS79" s="477">
        <f>'Раздел  обоснование 2022сш'!R91</f>
        <v>0</v>
      </c>
      <c r="DT79" s="485"/>
      <c r="DU79" s="485"/>
      <c r="DV79" s="485"/>
      <c r="DW79" s="485"/>
      <c r="DX79" s="485"/>
      <c r="DY79" s="485"/>
      <c r="DZ79" s="485"/>
      <c r="EA79" s="485"/>
      <c r="EB79" s="485"/>
      <c r="EC79" s="485"/>
      <c r="ED79" s="485"/>
      <c r="EE79" s="486"/>
      <c r="EF79" s="477">
        <f>'Раздел  обоснование 2022сш'!AE91</f>
        <v>0</v>
      </c>
      <c r="EG79" s="485"/>
      <c r="EH79" s="485"/>
      <c r="EI79" s="485"/>
      <c r="EJ79" s="485"/>
      <c r="EK79" s="485"/>
      <c r="EL79" s="485"/>
      <c r="EM79" s="485"/>
      <c r="EN79" s="485"/>
      <c r="EO79" s="485"/>
      <c r="EP79" s="485"/>
      <c r="EQ79" s="485"/>
      <c r="ER79" s="486"/>
      <c r="ES79" s="413" t="s">
        <v>43</v>
      </c>
      <c r="ET79" s="414"/>
      <c r="EU79" s="414"/>
      <c r="EV79" s="414"/>
      <c r="EW79" s="414"/>
      <c r="EX79" s="414"/>
      <c r="EY79" s="414"/>
      <c r="EZ79" s="414"/>
      <c r="FA79" s="414"/>
      <c r="FB79" s="414"/>
      <c r="FC79" s="414"/>
      <c r="FD79" s="414"/>
      <c r="FE79" s="415"/>
      <c r="FF79" s="140">
        <f>46626</f>
        <v>46626</v>
      </c>
      <c r="FG79" s="272">
        <f t="shared" si="0"/>
        <v>0</v>
      </c>
      <c r="FJ79" s="26"/>
      <c r="FK79" s="26"/>
    </row>
    <row r="80" spans="1:167" ht="10.5" customHeight="1">
      <c r="A80" s="463"/>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464"/>
      <c r="BK80" s="464"/>
      <c r="BL80" s="464"/>
      <c r="BM80" s="464"/>
      <c r="BN80" s="464"/>
      <c r="BO80" s="464"/>
      <c r="BP80" s="464"/>
      <c r="BQ80" s="464"/>
      <c r="BR80" s="464"/>
      <c r="BS80" s="464"/>
      <c r="BT80" s="464"/>
      <c r="BU80" s="464"/>
      <c r="BV80" s="464"/>
      <c r="BW80" s="464"/>
      <c r="BX80" s="428"/>
      <c r="BY80" s="429"/>
      <c r="BZ80" s="429"/>
      <c r="CA80" s="429"/>
      <c r="CB80" s="429"/>
      <c r="CC80" s="429"/>
      <c r="CD80" s="429"/>
      <c r="CE80" s="430"/>
      <c r="CF80" s="431"/>
      <c r="CG80" s="429"/>
      <c r="CH80" s="429"/>
      <c r="CI80" s="429"/>
      <c r="CJ80" s="429"/>
      <c r="CK80" s="429"/>
      <c r="CL80" s="429"/>
      <c r="CM80" s="429"/>
      <c r="CN80" s="429"/>
      <c r="CO80" s="429"/>
      <c r="CP80" s="429"/>
      <c r="CQ80" s="429"/>
      <c r="CR80" s="430"/>
      <c r="CS80" s="431"/>
      <c r="CT80" s="429"/>
      <c r="CU80" s="429"/>
      <c r="CV80" s="429"/>
      <c r="CW80" s="429"/>
      <c r="CX80" s="429"/>
      <c r="CY80" s="429"/>
      <c r="CZ80" s="429"/>
      <c r="DA80" s="429"/>
      <c r="DB80" s="429"/>
      <c r="DC80" s="429"/>
      <c r="DD80" s="429"/>
      <c r="DE80" s="430"/>
      <c r="DF80" s="413"/>
      <c r="DG80" s="414"/>
      <c r="DH80" s="414"/>
      <c r="DI80" s="414"/>
      <c r="DJ80" s="414"/>
      <c r="DK80" s="414"/>
      <c r="DL80" s="414"/>
      <c r="DM80" s="414"/>
      <c r="DN80" s="414"/>
      <c r="DO80" s="414"/>
      <c r="DP80" s="414"/>
      <c r="DQ80" s="414"/>
      <c r="DR80" s="450"/>
      <c r="DS80" s="413"/>
      <c r="DT80" s="414"/>
      <c r="DU80" s="414"/>
      <c r="DV80" s="414"/>
      <c r="DW80" s="414"/>
      <c r="DX80" s="414"/>
      <c r="DY80" s="414"/>
      <c r="DZ80" s="414"/>
      <c r="EA80" s="414"/>
      <c r="EB80" s="414"/>
      <c r="EC80" s="414"/>
      <c r="ED80" s="414"/>
      <c r="EE80" s="450"/>
      <c r="EF80" s="413"/>
      <c r="EG80" s="414"/>
      <c r="EH80" s="414"/>
      <c r="EI80" s="414"/>
      <c r="EJ80" s="414"/>
      <c r="EK80" s="414"/>
      <c r="EL80" s="414"/>
      <c r="EM80" s="414"/>
      <c r="EN80" s="414"/>
      <c r="EO80" s="414"/>
      <c r="EP80" s="414"/>
      <c r="EQ80" s="414"/>
      <c r="ER80" s="450"/>
      <c r="ES80" s="413"/>
      <c r="ET80" s="414"/>
      <c r="EU80" s="414"/>
      <c r="EV80" s="414"/>
      <c r="EW80" s="414"/>
      <c r="EX80" s="414"/>
      <c r="EY80" s="414"/>
      <c r="EZ80" s="414"/>
      <c r="FA80" s="414"/>
      <c r="FB80" s="414"/>
      <c r="FC80" s="414"/>
      <c r="FD80" s="414"/>
      <c r="FE80" s="415"/>
      <c r="FF80" s="140"/>
      <c r="FG80" s="272">
        <f t="shared" si="0"/>
        <v>0</v>
      </c>
      <c r="FJ80" s="26"/>
      <c r="FK80" s="26"/>
    </row>
    <row r="81" spans="1:167" ht="21.75" customHeight="1">
      <c r="A81" s="465" t="s">
        <v>116</v>
      </c>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6"/>
      <c r="BB81" s="466"/>
      <c r="BC81" s="466"/>
      <c r="BD81" s="466"/>
      <c r="BE81" s="466"/>
      <c r="BF81" s="466"/>
      <c r="BG81" s="466"/>
      <c r="BH81" s="466"/>
      <c r="BI81" s="466"/>
      <c r="BJ81" s="466"/>
      <c r="BK81" s="466"/>
      <c r="BL81" s="466"/>
      <c r="BM81" s="466"/>
      <c r="BN81" s="466"/>
      <c r="BO81" s="466"/>
      <c r="BP81" s="466"/>
      <c r="BQ81" s="466"/>
      <c r="BR81" s="466"/>
      <c r="BS81" s="466"/>
      <c r="BT81" s="466"/>
      <c r="BU81" s="466"/>
      <c r="BV81" s="466"/>
      <c r="BW81" s="466"/>
      <c r="BX81" s="428" t="s">
        <v>117</v>
      </c>
      <c r="BY81" s="429"/>
      <c r="BZ81" s="429"/>
      <c r="CA81" s="429"/>
      <c r="CB81" s="429"/>
      <c r="CC81" s="429"/>
      <c r="CD81" s="429"/>
      <c r="CE81" s="430"/>
      <c r="CF81" s="431" t="s">
        <v>118</v>
      </c>
      <c r="CG81" s="429"/>
      <c r="CH81" s="429"/>
      <c r="CI81" s="429"/>
      <c r="CJ81" s="429"/>
      <c r="CK81" s="429"/>
      <c r="CL81" s="429"/>
      <c r="CM81" s="429"/>
      <c r="CN81" s="429"/>
      <c r="CO81" s="429"/>
      <c r="CP81" s="429"/>
      <c r="CQ81" s="429"/>
      <c r="CR81" s="430"/>
      <c r="CS81" s="431"/>
      <c r="CT81" s="429"/>
      <c r="CU81" s="429"/>
      <c r="CV81" s="429"/>
      <c r="CW81" s="429"/>
      <c r="CX81" s="429"/>
      <c r="CY81" s="429"/>
      <c r="CZ81" s="429"/>
      <c r="DA81" s="429"/>
      <c r="DB81" s="429"/>
      <c r="DC81" s="429"/>
      <c r="DD81" s="429"/>
      <c r="DE81" s="430"/>
      <c r="DF81" s="413"/>
      <c r="DG81" s="414"/>
      <c r="DH81" s="414"/>
      <c r="DI81" s="414"/>
      <c r="DJ81" s="414"/>
      <c r="DK81" s="414"/>
      <c r="DL81" s="414"/>
      <c r="DM81" s="414"/>
      <c r="DN81" s="414"/>
      <c r="DO81" s="414"/>
      <c r="DP81" s="414"/>
      <c r="DQ81" s="414"/>
      <c r="DR81" s="450"/>
      <c r="DS81" s="413"/>
      <c r="DT81" s="414"/>
      <c r="DU81" s="414"/>
      <c r="DV81" s="414"/>
      <c r="DW81" s="414"/>
      <c r="DX81" s="414"/>
      <c r="DY81" s="414"/>
      <c r="DZ81" s="414"/>
      <c r="EA81" s="414"/>
      <c r="EB81" s="414"/>
      <c r="EC81" s="414"/>
      <c r="ED81" s="414"/>
      <c r="EE81" s="450"/>
      <c r="EF81" s="413"/>
      <c r="EG81" s="414"/>
      <c r="EH81" s="414"/>
      <c r="EI81" s="414"/>
      <c r="EJ81" s="414"/>
      <c r="EK81" s="414"/>
      <c r="EL81" s="414"/>
      <c r="EM81" s="414"/>
      <c r="EN81" s="414"/>
      <c r="EO81" s="414"/>
      <c r="EP81" s="414"/>
      <c r="EQ81" s="414"/>
      <c r="ER81" s="450"/>
      <c r="ES81" s="413" t="s">
        <v>43</v>
      </c>
      <c r="ET81" s="414"/>
      <c r="EU81" s="414"/>
      <c r="EV81" s="414"/>
      <c r="EW81" s="414"/>
      <c r="EX81" s="414"/>
      <c r="EY81" s="414"/>
      <c r="EZ81" s="414"/>
      <c r="FA81" s="414"/>
      <c r="FB81" s="414"/>
      <c r="FC81" s="414"/>
      <c r="FD81" s="414"/>
      <c r="FE81" s="415"/>
      <c r="FF81" s="140"/>
      <c r="FG81" s="272">
        <f t="shared" si="0"/>
        <v>0</v>
      </c>
      <c r="FJ81" s="116"/>
      <c r="FK81" s="26"/>
    </row>
    <row r="82" spans="1:167" ht="33.75" customHeight="1">
      <c r="A82" s="465" t="s">
        <v>119</v>
      </c>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6"/>
      <c r="BB82" s="466"/>
      <c r="BC82" s="466"/>
      <c r="BD82" s="466"/>
      <c r="BE82" s="466"/>
      <c r="BF82" s="466"/>
      <c r="BG82" s="466"/>
      <c r="BH82" s="466"/>
      <c r="BI82" s="466"/>
      <c r="BJ82" s="466"/>
      <c r="BK82" s="466"/>
      <c r="BL82" s="466"/>
      <c r="BM82" s="466"/>
      <c r="BN82" s="466"/>
      <c r="BO82" s="466"/>
      <c r="BP82" s="466"/>
      <c r="BQ82" s="466"/>
      <c r="BR82" s="466"/>
      <c r="BS82" s="466"/>
      <c r="BT82" s="466"/>
      <c r="BU82" s="466"/>
      <c r="BV82" s="466"/>
      <c r="BW82" s="466"/>
      <c r="BX82" s="428" t="s">
        <v>120</v>
      </c>
      <c r="BY82" s="429"/>
      <c r="BZ82" s="429"/>
      <c r="CA82" s="429"/>
      <c r="CB82" s="429"/>
      <c r="CC82" s="429"/>
      <c r="CD82" s="429"/>
      <c r="CE82" s="430"/>
      <c r="CF82" s="431" t="s">
        <v>121</v>
      </c>
      <c r="CG82" s="429"/>
      <c r="CH82" s="429"/>
      <c r="CI82" s="429"/>
      <c r="CJ82" s="429"/>
      <c r="CK82" s="429"/>
      <c r="CL82" s="429"/>
      <c r="CM82" s="429"/>
      <c r="CN82" s="429"/>
      <c r="CO82" s="429"/>
      <c r="CP82" s="429"/>
      <c r="CQ82" s="429"/>
      <c r="CR82" s="430"/>
      <c r="CS82" s="431"/>
      <c r="CT82" s="429"/>
      <c r="CU82" s="429"/>
      <c r="CV82" s="429"/>
      <c r="CW82" s="429"/>
      <c r="CX82" s="429"/>
      <c r="CY82" s="429"/>
      <c r="CZ82" s="429"/>
      <c r="DA82" s="429"/>
      <c r="DB82" s="429"/>
      <c r="DC82" s="429"/>
      <c r="DD82" s="429"/>
      <c r="DE82" s="430"/>
      <c r="DF82" s="413"/>
      <c r="DG82" s="414"/>
      <c r="DH82" s="414"/>
      <c r="DI82" s="414"/>
      <c r="DJ82" s="414"/>
      <c r="DK82" s="414"/>
      <c r="DL82" s="414"/>
      <c r="DM82" s="414"/>
      <c r="DN82" s="414"/>
      <c r="DO82" s="414"/>
      <c r="DP82" s="414"/>
      <c r="DQ82" s="414"/>
      <c r="DR82" s="450"/>
      <c r="DS82" s="413"/>
      <c r="DT82" s="414"/>
      <c r="DU82" s="414"/>
      <c r="DV82" s="414"/>
      <c r="DW82" s="414"/>
      <c r="DX82" s="414"/>
      <c r="DY82" s="414"/>
      <c r="DZ82" s="414"/>
      <c r="EA82" s="414"/>
      <c r="EB82" s="414"/>
      <c r="EC82" s="414"/>
      <c r="ED82" s="414"/>
      <c r="EE82" s="450"/>
      <c r="EF82" s="413"/>
      <c r="EG82" s="414"/>
      <c r="EH82" s="414"/>
      <c r="EI82" s="414"/>
      <c r="EJ82" s="414"/>
      <c r="EK82" s="414"/>
      <c r="EL82" s="414"/>
      <c r="EM82" s="414"/>
      <c r="EN82" s="414"/>
      <c r="EO82" s="414"/>
      <c r="EP82" s="414"/>
      <c r="EQ82" s="414"/>
      <c r="ER82" s="450"/>
      <c r="ES82" s="413" t="s">
        <v>43</v>
      </c>
      <c r="ET82" s="414"/>
      <c r="EU82" s="414"/>
      <c r="EV82" s="414"/>
      <c r="EW82" s="414"/>
      <c r="EX82" s="414"/>
      <c r="EY82" s="414"/>
      <c r="EZ82" s="414"/>
      <c r="FA82" s="414"/>
      <c r="FB82" s="414"/>
      <c r="FC82" s="414"/>
      <c r="FD82" s="414"/>
      <c r="FE82" s="415"/>
      <c r="FF82" s="140"/>
      <c r="FG82" s="272">
        <f t="shared" si="0"/>
        <v>0</v>
      </c>
      <c r="FJ82" s="111"/>
      <c r="FK82" s="26"/>
    </row>
    <row r="83" spans="1:167" ht="10.5" customHeight="1">
      <c r="A83" s="465" t="s">
        <v>122</v>
      </c>
      <c r="B83" s="466"/>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6"/>
      <c r="BO83" s="466"/>
      <c r="BP83" s="466"/>
      <c r="BQ83" s="466"/>
      <c r="BR83" s="466"/>
      <c r="BS83" s="466"/>
      <c r="BT83" s="466"/>
      <c r="BU83" s="466"/>
      <c r="BV83" s="466"/>
      <c r="BW83" s="466"/>
      <c r="BX83" s="428" t="s">
        <v>123</v>
      </c>
      <c r="BY83" s="429"/>
      <c r="BZ83" s="429"/>
      <c r="CA83" s="429"/>
      <c r="CB83" s="429"/>
      <c r="CC83" s="429"/>
      <c r="CD83" s="429"/>
      <c r="CE83" s="430"/>
      <c r="CF83" s="431" t="s">
        <v>124</v>
      </c>
      <c r="CG83" s="429"/>
      <c r="CH83" s="429"/>
      <c r="CI83" s="429"/>
      <c r="CJ83" s="429"/>
      <c r="CK83" s="429"/>
      <c r="CL83" s="429"/>
      <c r="CM83" s="429"/>
      <c r="CN83" s="429"/>
      <c r="CO83" s="429"/>
      <c r="CP83" s="429"/>
      <c r="CQ83" s="429"/>
      <c r="CR83" s="430"/>
      <c r="CS83" s="431"/>
      <c r="CT83" s="429"/>
      <c r="CU83" s="429"/>
      <c r="CV83" s="429"/>
      <c r="CW83" s="429"/>
      <c r="CX83" s="429"/>
      <c r="CY83" s="429"/>
      <c r="CZ83" s="429"/>
      <c r="DA83" s="429"/>
      <c r="DB83" s="429"/>
      <c r="DC83" s="429"/>
      <c r="DD83" s="429"/>
      <c r="DE83" s="430"/>
      <c r="DF83" s="413"/>
      <c r="DG83" s="414"/>
      <c r="DH83" s="414"/>
      <c r="DI83" s="414"/>
      <c r="DJ83" s="414"/>
      <c r="DK83" s="414"/>
      <c r="DL83" s="414"/>
      <c r="DM83" s="414"/>
      <c r="DN83" s="414"/>
      <c r="DO83" s="414"/>
      <c r="DP83" s="414"/>
      <c r="DQ83" s="414"/>
      <c r="DR83" s="450"/>
      <c r="DS83" s="413"/>
      <c r="DT83" s="414"/>
      <c r="DU83" s="414"/>
      <c r="DV83" s="414"/>
      <c r="DW83" s="414"/>
      <c r="DX83" s="414"/>
      <c r="DY83" s="414"/>
      <c r="DZ83" s="414"/>
      <c r="EA83" s="414"/>
      <c r="EB83" s="414"/>
      <c r="EC83" s="414"/>
      <c r="ED83" s="414"/>
      <c r="EE83" s="450"/>
      <c r="EF83" s="413"/>
      <c r="EG83" s="414"/>
      <c r="EH83" s="414"/>
      <c r="EI83" s="414"/>
      <c r="EJ83" s="414"/>
      <c r="EK83" s="414"/>
      <c r="EL83" s="414"/>
      <c r="EM83" s="414"/>
      <c r="EN83" s="414"/>
      <c r="EO83" s="414"/>
      <c r="EP83" s="414"/>
      <c r="EQ83" s="414"/>
      <c r="ER83" s="450"/>
      <c r="ES83" s="413" t="s">
        <v>43</v>
      </c>
      <c r="ET83" s="414"/>
      <c r="EU83" s="414"/>
      <c r="EV83" s="414"/>
      <c r="EW83" s="414"/>
      <c r="EX83" s="414"/>
      <c r="EY83" s="414"/>
      <c r="EZ83" s="414"/>
      <c r="FA83" s="414"/>
      <c r="FB83" s="414"/>
      <c r="FC83" s="414"/>
      <c r="FD83" s="414"/>
      <c r="FE83" s="415"/>
      <c r="FF83" s="140"/>
      <c r="FG83" s="272">
        <f t="shared" si="0"/>
        <v>0</v>
      </c>
      <c r="FJ83" s="26"/>
      <c r="FK83" s="26"/>
    </row>
    <row r="84" spans="1:167" ht="12" customHeight="1">
      <c r="A84" s="478" t="s">
        <v>125</v>
      </c>
      <c r="B84" s="479"/>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c r="BM84" s="479"/>
      <c r="BN84" s="479"/>
      <c r="BO84" s="479"/>
      <c r="BP84" s="479"/>
      <c r="BQ84" s="479"/>
      <c r="BR84" s="479"/>
      <c r="BS84" s="479"/>
      <c r="BT84" s="479"/>
      <c r="BU84" s="479"/>
      <c r="BV84" s="479"/>
      <c r="BW84" s="479"/>
      <c r="BX84" s="428" t="s">
        <v>126</v>
      </c>
      <c r="BY84" s="429"/>
      <c r="BZ84" s="429"/>
      <c r="CA84" s="429"/>
      <c r="CB84" s="429"/>
      <c r="CC84" s="429"/>
      <c r="CD84" s="429"/>
      <c r="CE84" s="430"/>
      <c r="CF84" s="431" t="s">
        <v>127</v>
      </c>
      <c r="CG84" s="429"/>
      <c r="CH84" s="429"/>
      <c r="CI84" s="429"/>
      <c r="CJ84" s="429"/>
      <c r="CK84" s="429"/>
      <c r="CL84" s="429"/>
      <c r="CM84" s="429"/>
      <c r="CN84" s="429"/>
      <c r="CO84" s="429"/>
      <c r="CP84" s="429"/>
      <c r="CQ84" s="429"/>
      <c r="CR84" s="430"/>
      <c r="CS84" s="431"/>
      <c r="CT84" s="429"/>
      <c r="CU84" s="429"/>
      <c r="CV84" s="429"/>
      <c r="CW84" s="429"/>
      <c r="CX84" s="429"/>
      <c r="CY84" s="429"/>
      <c r="CZ84" s="429"/>
      <c r="DA84" s="429"/>
      <c r="DB84" s="429"/>
      <c r="DC84" s="429"/>
      <c r="DD84" s="429"/>
      <c r="DE84" s="430"/>
      <c r="DF84" s="477">
        <f>DF85+DF86+DF88+DF87</f>
        <v>1066134.97</v>
      </c>
      <c r="DG84" s="414"/>
      <c r="DH84" s="414"/>
      <c r="DI84" s="414"/>
      <c r="DJ84" s="414"/>
      <c r="DK84" s="414"/>
      <c r="DL84" s="414"/>
      <c r="DM84" s="414"/>
      <c r="DN84" s="414"/>
      <c r="DO84" s="414"/>
      <c r="DP84" s="414"/>
      <c r="DQ84" s="414"/>
      <c r="DR84" s="450"/>
      <c r="DS84" s="477">
        <f>DS85+DS86+DS88</f>
        <v>1081076.9999499999</v>
      </c>
      <c r="DT84" s="414"/>
      <c r="DU84" s="414"/>
      <c r="DV84" s="414"/>
      <c r="DW84" s="414"/>
      <c r="DX84" s="414"/>
      <c r="DY84" s="414"/>
      <c r="DZ84" s="414"/>
      <c r="EA84" s="414"/>
      <c r="EB84" s="414"/>
      <c r="EC84" s="414"/>
      <c r="ED84" s="414"/>
      <c r="EE84" s="450"/>
      <c r="EF84" s="477">
        <f>EF85+EF86+EF88</f>
        <v>1081076.9999499999</v>
      </c>
      <c r="EG84" s="414"/>
      <c r="EH84" s="414"/>
      <c r="EI84" s="414"/>
      <c r="EJ84" s="414"/>
      <c r="EK84" s="414"/>
      <c r="EL84" s="414"/>
      <c r="EM84" s="414"/>
      <c r="EN84" s="414"/>
      <c r="EO84" s="414"/>
      <c r="EP84" s="414"/>
      <c r="EQ84" s="414"/>
      <c r="ER84" s="450"/>
      <c r="ES84" s="413" t="s">
        <v>43</v>
      </c>
      <c r="ET84" s="414"/>
      <c r="EU84" s="414"/>
      <c r="EV84" s="414"/>
      <c r="EW84" s="414"/>
      <c r="EX84" s="414"/>
      <c r="EY84" s="414"/>
      <c r="EZ84" s="414"/>
      <c r="FA84" s="414"/>
      <c r="FB84" s="414"/>
      <c r="FC84" s="414"/>
      <c r="FD84" s="414"/>
      <c r="FE84" s="415"/>
      <c r="FF84" s="140"/>
      <c r="FG84" s="272"/>
      <c r="FJ84" s="26"/>
      <c r="FK84" s="26"/>
    </row>
    <row r="85" spans="1:167" ht="21.75" customHeight="1">
      <c r="A85" s="465" t="s">
        <v>128</v>
      </c>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6"/>
      <c r="BB85" s="466"/>
      <c r="BC85" s="466"/>
      <c r="BD85" s="466"/>
      <c r="BE85" s="466"/>
      <c r="BF85" s="466"/>
      <c r="BG85" s="466"/>
      <c r="BH85" s="466"/>
      <c r="BI85" s="466"/>
      <c r="BJ85" s="466"/>
      <c r="BK85" s="466"/>
      <c r="BL85" s="466"/>
      <c r="BM85" s="466"/>
      <c r="BN85" s="466"/>
      <c r="BO85" s="466"/>
      <c r="BP85" s="466"/>
      <c r="BQ85" s="466"/>
      <c r="BR85" s="466"/>
      <c r="BS85" s="466"/>
      <c r="BT85" s="466"/>
      <c r="BU85" s="466"/>
      <c r="BV85" s="466"/>
      <c r="BW85" s="466"/>
      <c r="BX85" s="428" t="s">
        <v>129</v>
      </c>
      <c r="BY85" s="429"/>
      <c r="BZ85" s="429"/>
      <c r="CA85" s="429"/>
      <c r="CB85" s="429"/>
      <c r="CC85" s="429"/>
      <c r="CD85" s="429"/>
      <c r="CE85" s="430"/>
      <c r="CF85" s="431" t="s">
        <v>130</v>
      </c>
      <c r="CG85" s="429"/>
      <c r="CH85" s="429"/>
      <c r="CI85" s="429"/>
      <c r="CJ85" s="429"/>
      <c r="CK85" s="429"/>
      <c r="CL85" s="429"/>
      <c r="CM85" s="429"/>
      <c r="CN85" s="429"/>
      <c r="CO85" s="429"/>
      <c r="CP85" s="429"/>
      <c r="CQ85" s="429"/>
      <c r="CR85" s="430"/>
      <c r="CS85" s="431" t="s">
        <v>465</v>
      </c>
      <c r="CT85" s="429"/>
      <c r="CU85" s="429"/>
      <c r="CV85" s="429"/>
      <c r="CW85" s="429"/>
      <c r="CX85" s="429"/>
      <c r="CY85" s="429"/>
      <c r="CZ85" s="429"/>
      <c r="DA85" s="429"/>
      <c r="DB85" s="429"/>
      <c r="DC85" s="429"/>
      <c r="DD85" s="429"/>
      <c r="DE85" s="430"/>
      <c r="DF85" s="477">
        <f>'Раздел  обоснование 2022сш'!E111+'Раздел  обоснование 2022сш'!E112</f>
        <v>1050870</v>
      </c>
      <c r="DG85" s="414"/>
      <c r="DH85" s="414"/>
      <c r="DI85" s="414"/>
      <c r="DJ85" s="414"/>
      <c r="DK85" s="414"/>
      <c r="DL85" s="414"/>
      <c r="DM85" s="414"/>
      <c r="DN85" s="414"/>
      <c r="DO85" s="414"/>
      <c r="DP85" s="414"/>
      <c r="DQ85" s="414"/>
      <c r="DR85" s="450"/>
      <c r="DS85" s="477">
        <f>'Раздел  обоснование 2023сш '!E82+'Раздел  обоснование 2023сш '!E83</f>
        <v>1081076.9999499999</v>
      </c>
      <c r="DT85" s="414"/>
      <c r="DU85" s="414"/>
      <c r="DV85" s="414"/>
      <c r="DW85" s="414"/>
      <c r="DX85" s="414"/>
      <c r="DY85" s="414"/>
      <c r="DZ85" s="414"/>
      <c r="EA85" s="414"/>
      <c r="EB85" s="414"/>
      <c r="EC85" s="414"/>
      <c r="ED85" s="414"/>
      <c r="EE85" s="450"/>
      <c r="EF85" s="477">
        <f>'Раздел  обоснование 2024сш'!E82+'Раздел  обоснование 2024сш'!E83</f>
        <v>1081076.9999499999</v>
      </c>
      <c r="EG85" s="414"/>
      <c r="EH85" s="414"/>
      <c r="EI85" s="414"/>
      <c r="EJ85" s="414"/>
      <c r="EK85" s="414"/>
      <c r="EL85" s="414"/>
      <c r="EM85" s="414"/>
      <c r="EN85" s="414"/>
      <c r="EO85" s="414"/>
      <c r="EP85" s="414"/>
      <c r="EQ85" s="414"/>
      <c r="ER85" s="450"/>
      <c r="ES85" s="413" t="s">
        <v>43</v>
      </c>
      <c r="ET85" s="414"/>
      <c r="EU85" s="414"/>
      <c r="EV85" s="414"/>
      <c r="EW85" s="414"/>
      <c r="EX85" s="414"/>
      <c r="EY85" s="414"/>
      <c r="EZ85" s="414"/>
      <c r="FA85" s="414"/>
      <c r="FB85" s="414"/>
      <c r="FC85" s="414"/>
      <c r="FD85" s="414"/>
      <c r="FE85" s="415"/>
      <c r="FF85" s="140">
        <f>1050870</f>
        <v>1050870</v>
      </c>
      <c r="FG85" s="272">
        <f t="shared" si="0"/>
        <v>0</v>
      </c>
      <c r="FJ85" s="26"/>
      <c r="FK85" s="26"/>
    </row>
    <row r="86" spans="1:167" ht="21.75" customHeight="1">
      <c r="A86" s="465" t="s">
        <v>131</v>
      </c>
      <c r="B86" s="466"/>
      <c r="C86" s="466"/>
      <c r="D86" s="466"/>
      <c r="E86" s="466"/>
      <c r="F86" s="466"/>
      <c r="G86" s="466"/>
      <c r="H86" s="466"/>
      <c r="I86" s="466"/>
      <c r="J86" s="466"/>
      <c r="K86" s="466"/>
      <c r="L86" s="466"/>
      <c r="M86" s="466"/>
      <c r="N86" s="466"/>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66"/>
      <c r="BA86" s="466"/>
      <c r="BB86" s="466"/>
      <c r="BC86" s="466"/>
      <c r="BD86" s="466"/>
      <c r="BE86" s="466"/>
      <c r="BF86" s="466"/>
      <c r="BG86" s="466"/>
      <c r="BH86" s="466"/>
      <c r="BI86" s="466"/>
      <c r="BJ86" s="466"/>
      <c r="BK86" s="466"/>
      <c r="BL86" s="466"/>
      <c r="BM86" s="466"/>
      <c r="BN86" s="466"/>
      <c r="BO86" s="466"/>
      <c r="BP86" s="466"/>
      <c r="BQ86" s="466"/>
      <c r="BR86" s="466"/>
      <c r="BS86" s="466"/>
      <c r="BT86" s="466"/>
      <c r="BU86" s="466"/>
      <c r="BV86" s="466"/>
      <c r="BW86" s="466"/>
      <c r="BX86" s="428" t="s">
        <v>132</v>
      </c>
      <c r="BY86" s="429"/>
      <c r="BZ86" s="429"/>
      <c r="CA86" s="429"/>
      <c r="CB86" s="429"/>
      <c r="CC86" s="429"/>
      <c r="CD86" s="429"/>
      <c r="CE86" s="430"/>
      <c r="CF86" s="431" t="s">
        <v>133</v>
      </c>
      <c r="CG86" s="429"/>
      <c r="CH86" s="429"/>
      <c r="CI86" s="429"/>
      <c r="CJ86" s="429"/>
      <c r="CK86" s="429"/>
      <c r="CL86" s="429"/>
      <c r="CM86" s="429"/>
      <c r="CN86" s="429"/>
      <c r="CO86" s="429"/>
      <c r="CP86" s="429"/>
      <c r="CQ86" s="429"/>
      <c r="CR86" s="430"/>
      <c r="CS86" s="431" t="s">
        <v>465</v>
      </c>
      <c r="CT86" s="429"/>
      <c r="CU86" s="429"/>
      <c r="CV86" s="429"/>
      <c r="CW86" s="429"/>
      <c r="CX86" s="429"/>
      <c r="CY86" s="429"/>
      <c r="CZ86" s="429"/>
      <c r="DA86" s="429"/>
      <c r="DB86" s="429"/>
      <c r="DC86" s="429"/>
      <c r="DD86" s="429"/>
      <c r="DE86" s="430"/>
      <c r="DF86" s="477">
        <f>'Раздел  обоснование 2022сш'!E114</f>
        <v>0</v>
      </c>
      <c r="DG86" s="414"/>
      <c r="DH86" s="414"/>
      <c r="DI86" s="414"/>
      <c r="DJ86" s="414"/>
      <c r="DK86" s="414"/>
      <c r="DL86" s="414"/>
      <c r="DM86" s="414"/>
      <c r="DN86" s="414"/>
      <c r="DO86" s="414"/>
      <c r="DP86" s="414"/>
      <c r="DQ86" s="414"/>
      <c r="DR86" s="450"/>
      <c r="DS86" s="477">
        <v>0</v>
      </c>
      <c r="DT86" s="485"/>
      <c r="DU86" s="485"/>
      <c r="DV86" s="485"/>
      <c r="DW86" s="485"/>
      <c r="DX86" s="485"/>
      <c r="DY86" s="485"/>
      <c r="DZ86" s="485"/>
      <c r="EA86" s="485"/>
      <c r="EB86" s="485"/>
      <c r="EC86" s="485"/>
      <c r="ED86" s="485"/>
      <c r="EE86" s="486"/>
      <c r="EF86" s="477">
        <v>0</v>
      </c>
      <c r="EG86" s="485"/>
      <c r="EH86" s="485"/>
      <c r="EI86" s="485"/>
      <c r="EJ86" s="485"/>
      <c r="EK86" s="485"/>
      <c r="EL86" s="485"/>
      <c r="EM86" s="485"/>
      <c r="EN86" s="485"/>
      <c r="EO86" s="485"/>
      <c r="EP86" s="485"/>
      <c r="EQ86" s="485"/>
      <c r="ER86" s="486"/>
      <c r="ES86" s="413" t="s">
        <v>43</v>
      </c>
      <c r="ET86" s="414"/>
      <c r="EU86" s="414"/>
      <c r="EV86" s="414"/>
      <c r="EW86" s="414"/>
      <c r="EX86" s="414"/>
      <c r="EY86" s="414"/>
      <c r="EZ86" s="414"/>
      <c r="FA86" s="414"/>
      <c r="FB86" s="414"/>
      <c r="FC86" s="414"/>
      <c r="FD86" s="414"/>
      <c r="FE86" s="415"/>
      <c r="FF86" s="140"/>
      <c r="FG86" s="272">
        <f t="shared" si="0"/>
        <v>0</v>
      </c>
      <c r="FJ86" s="26"/>
      <c r="FK86" s="26"/>
    </row>
    <row r="87" spans="1:167" ht="15.75" customHeight="1">
      <c r="A87" s="465" t="s">
        <v>134</v>
      </c>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c r="BO87" s="466"/>
      <c r="BP87" s="466"/>
      <c r="BQ87" s="466"/>
      <c r="BR87" s="466"/>
      <c r="BS87" s="466"/>
      <c r="BT87" s="466"/>
      <c r="BU87" s="466"/>
      <c r="BV87" s="466"/>
      <c r="BW87" s="466"/>
      <c r="BX87" s="428" t="s">
        <v>135</v>
      </c>
      <c r="BY87" s="429"/>
      <c r="BZ87" s="429"/>
      <c r="CA87" s="429"/>
      <c r="CB87" s="429"/>
      <c r="CC87" s="429"/>
      <c r="CD87" s="429"/>
      <c r="CE87" s="430"/>
      <c r="CF87" s="431" t="s">
        <v>136</v>
      </c>
      <c r="CG87" s="429"/>
      <c r="CH87" s="429"/>
      <c r="CI87" s="429"/>
      <c r="CJ87" s="429"/>
      <c r="CK87" s="429"/>
      <c r="CL87" s="429"/>
      <c r="CM87" s="429"/>
      <c r="CN87" s="429"/>
      <c r="CO87" s="429"/>
      <c r="CP87" s="429"/>
      <c r="CQ87" s="429"/>
      <c r="CR87" s="430"/>
      <c r="CS87" s="431" t="s">
        <v>520</v>
      </c>
      <c r="CT87" s="429"/>
      <c r="CU87" s="429"/>
      <c r="CV87" s="429"/>
      <c r="CW87" s="429"/>
      <c r="CX87" s="429"/>
      <c r="CY87" s="429"/>
      <c r="CZ87" s="429"/>
      <c r="DA87" s="429"/>
      <c r="DB87" s="429"/>
      <c r="DC87" s="429"/>
      <c r="DD87" s="429"/>
      <c r="DE87" s="430"/>
      <c r="DF87" s="482">
        <f>'Раздел  обоснование 2022сш'!E118</f>
        <v>262.16</v>
      </c>
      <c r="DG87" s="483"/>
      <c r="DH87" s="483"/>
      <c r="DI87" s="483"/>
      <c r="DJ87" s="483"/>
      <c r="DK87" s="483"/>
      <c r="DL87" s="483"/>
      <c r="DM87" s="483"/>
      <c r="DN87" s="483"/>
      <c r="DO87" s="483"/>
      <c r="DP87" s="483"/>
      <c r="DQ87" s="483"/>
      <c r="DR87" s="484"/>
      <c r="DS87" s="477">
        <v>0</v>
      </c>
      <c r="DT87" s="485"/>
      <c r="DU87" s="485"/>
      <c r="DV87" s="485"/>
      <c r="DW87" s="485"/>
      <c r="DX87" s="485"/>
      <c r="DY87" s="485"/>
      <c r="DZ87" s="485"/>
      <c r="EA87" s="485"/>
      <c r="EB87" s="485"/>
      <c r="EC87" s="485"/>
      <c r="ED87" s="485"/>
      <c r="EE87" s="486"/>
      <c r="EF87" s="477">
        <v>0</v>
      </c>
      <c r="EG87" s="485"/>
      <c r="EH87" s="485"/>
      <c r="EI87" s="485"/>
      <c r="EJ87" s="485"/>
      <c r="EK87" s="485"/>
      <c r="EL87" s="485"/>
      <c r="EM87" s="485"/>
      <c r="EN87" s="485"/>
      <c r="EO87" s="485"/>
      <c r="EP87" s="485"/>
      <c r="EQ87" s="485"/>
      <c r="ER87" s="486"/>
      <c r="ES87" s="413" t="s">
        <v>43</v>
      </c>
      <c r="ET87" s="414"/>
      <c r="EU87" s="414"/>
      <c r="EV87" s="414"/>
      <c r="EW87" s="414"/>
      <c r="EX87" s="414"/>
      <c r="EY87" s="414"/>
      <c r="EZ87" s="414"/>
      <c r="FA87" s="414"/>
      <c r="FB87" s="414"/>
      <c r="FC87" s="414"/>
      <c r="FD87" s="414"/>
      <c r="FE87" s="415"/>
      <c r="FF87" s="140">
        <v>262.16</v>
      </c>
      <c r="FG87" s="272">
        <f t="shared" si="0"/>
        <v>0</v>
      </c>
      <c r="FJ87" s="26"/>
      <c r="FK87" s="26"/>
    </row>
    <row r="88" spans="1:167" ht="15.75" customHeight="1">
      <c r="A88" s="465" t="s">
        <v>134</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6"/>
      <c r="AR88" s="466"/>
      <c r="AS88" s="466"/>
      <c r="AT88" s="466"/>
      <c r="AU88" s="466"/>
      <c r="AV88" s="466"/>
      <c r="AW88" s="466"/>
      <c r="AX88" s="466"/>
      <c r="AY88" s="466"/>
      <c r="AZ88" s="466"/>
      <c r="BA88" s="466"/>
      <c r="BB88" s="466"/>
      <c r="BC88" s="466"/>
      <c r="BD88" s="466"/>
      <c r="BE88" s="466"/>
      <c r="BF88" s="466"/>
      <c r="BG88" s="466"/>
      <c r="BH88" s="466"/>
      <c r="BI88" s="466"/>
      <c r="BJ88" s="466"/>
      <c r="BK88" s="466"/>
      <c r="BL88" s="466"/>
      <c r="BM88" s="466"/>
      <c r="BN88" s="466"/>
      <c r="BO88" s="466"/>
      <c r="BP88" s="466"/>
      <c r="BQ88" s="466"/>
      <c r="BR88" s="466"/>
      <c r="BS88" s="466"/>
      <c r="BT88" s="466"/>
      <c r="BU88" s="466"/>
      <c r="BV88" s="466"/>
      <c r="BW88" s="466"/>
      <c r="BX88" s="428" t="s">
        <v>135</v>
      </c>
      <c r="BY88" s="429"/>
      <c r="BZ88" s="429"/>
      <c r="CA88" s="429"/>
      <c r="CB88" s="429"/>
      <c r="CC88" s="429"/>
      <c r="CD88" s="429"/>
      <c r="CE88" s="430"/>
      <c r="CF88" s="431" t="s">
        <v>136</v>
      </c>
      <c r="CG88" s="429"/>
      <c r="CH88" s="429"/>
      <c r="CI88" s="429"/>
      <c r="CJ88" s="429"/>
      <c r="CK88" s="429"/>
      <c r="CL88" s="429"/>
      <c r="CM88" s="429"/>
      <c r="CN88" s="429"/>
      <c r="CO88" s="429"/>
      <c r="CP88" s="429"/>
      <c r="CQ88" s="429"/>
      <c r="CR88" s="430"/>
      <c r="CS88" s="431" t="s">
        <v>466</v>
      </c>
      <c r="CT88" s="429"/>
      <c r="CU88" s="429"/>
      <c r="CV88" s="429"/>
      <c r="CW88" s="429"/>
      <c r="CX88" s="429"/>
      <c r="CY88" s="429"/>
      <c r="CZ88" s="429"/>
      <c r="DA88" s="429"/>
      <c r="DB88" s="429"/>
      <c r="DC88" s="429"/>
      <c r="DD88" s="429"/>
      <c r="DE88" s="430"/>
      <c r="DF88" s="482">
        <f>'Раздел  обоснование 2022сш'!E119</f>
        <v>15002.81</v>
      </c>
      <c r="DG88" s="483"/>
      <c r="DH88" s="483"/>
      <c r="DI88" s="483"/>
      <c r="DJ88" s="483"/>
      <c r="DK88" s="483"/>
      <c r="DL88" s="483"/>
      <c r="DM88" s="483"/>
      <c r="DN88" s="483"/>
      <c r="DO88" s="483"/>
      <c r="DP88" s="483"/>
      <c r="DQ88" s="483"/>
      <c r="DR88" s="484"/>
      <c r="DS88" s="477">
        <v>0</v>
      </c>
      <c r="DT88" s="485"/>
      <c r="DU88" s="485"/>
      <c r="DV88" s="485"/>
      <c r="DW88" s="485"/>
      <c r="DX88" s="485"/>
      <c r="DY88" s="485"/>
      <c r="DZ88" s="485"/>
      <c r="EA88" s="485"/>
      <c r="EB88" s="485"/>
      <c r="EC88" s="485"/>
      <c r="ED88" s="485"/>
      <c r="EE88" s="486"/>
      <c r="EF88" s="477">
        <v>0</v>
      </c>
      <c r="EG88" s="485"/>
      <c r="EH88" s="485"/>
      <c r="EI88" s="485"/>
      <c r="EJ88" s="485"/>
      <c r="EK88" s="485"/>
      <c r="EL88" s="485"/>
      <c r="EM88" s="485"/>
      <c r="EN88" s="485"/>
      <c r="EO88" s="485"/>
      <c r="EP88" s="485"/>
      <c r="EQ88" s="485"/>
      <c r="ER88" s="486"/>
      <c r="ES88" s="413" t="s">
        <v>43</v>
      </c>
      <c r="ET88" s="414"/>
      <c r="EU88" s="414"/>
      <c r="EV88" s="414"/>
      <c r="EW88" s="414"/>
      <c r="EX88" s="414"/>
      <c r="EY88" s="414"/>
      <c r="EZ88" s="414"/>
      <c r="FA88" s="414"/>
      <c r="FB88" s="414"/>
      <c r="FC88" s="414"/>
      <c r="FD88" s="414"/>
      <c r="FE88" s="415"/>
      <c r="FF88" s="140">
        <v>15002.81</v>
      </c>
      <c r="FG88" s="272">
        <f t="shared" si="0"/>
        <v>0</v>
      </c>
      <c r="FJ88" s="26"/>
      <c r="FK88" s="26"/>
    </row>
    <row r="89" spans="1:163" ht="10.5" customHeight="1">
      <c r="A89" s="478" t="s">
        <v>137</v>
      </c>
      <c r="B89" s="479"/>
      <c r="C89" s="479"/>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79"/>
      <c r="BN89" s="479"/>
      <c r="BO89" s="479"/>
      <c r="BP89" s="479"/>
      <c r="BQ89" s="479"/>
      <c r="BR89" s="479"/>
      <c r="BS89" s="479"/>
      <c r="BT89" s="479"/>
      <c r="BU89" s="479"/>
      <c r="BV89" s="479"/>
      <c r="BW89" s="479"/>
      <c r="BX89" s="428" t="s">
        <v>138</v>
      </c>
      <c r="BY89" s="429"/>
      <c r="BZ89" s="429"/>
      <c r="CA89" s="429"/>
      <c r="CB89" s="429"/>
      <c r="CC89" s="429"/>
      <c r="CD89" s="429"/>
      <c r="CE89" s="430"/>
      <c r="CF89" s="431" t="s">
        <v>43</v>
      </c>
      <c r="CG89" s="429"/>
      <c r="CH89" s="429"/>
      <c r="CI89" s="429"/>
      <c r="CJ89" s="429"/>
      <c r="CK89" s="429"/>
      <c r="CL89" s="429"/>
      <c r="CM89" s="429"/>
      <c r="CN89" s="429"/>
      <c r="CO89" s="429"/>
      <c r="CP89" s="429"/>
      <c r="CQ89" s="429"/>
      <c r="CR89" s="430"/>
      <c r="CS89" s="431"/>
      <c r="CT89" s="429"/>
      <c r="CU89" s="429"/>
      <c r="CV89" s="429"/>
      <c r="CW89" s="429"/>
      <c r="CX89" s="429"/>
      <c r="CY89" s="429"/>
      <c r="CZ89" s="429"/>
      <c r="DA89" s="429"/>
      <c r="DB89" s="429"/>
      <c r="DC89" s="429"/>
      <c r="DD89" s="429"/>
      <c r="DE89" s="430"/>
      <c r="DF89" s="413"/>
      <c r="DG89" s="414"/>
      <c r="DH89" s="414"/>
      <c r="DI89" s="414"/>
      <c r="DJ89" s="414"/>
      <c r="DK89" s="414"/>
      <c r="DL89" s="414"/>
      <c r="DM89" s="414"/>
      <c r="DN89" s="414"/>
      <c r="DO89" s="414"/>
      <c r="DP89" s="414"/>
      <c r="DQ89" s="414"/>
      <c r="DR89" s="450"/>
      <c r="DS89" s="413"/>
      <c r="DT89" s="414"/>
      <c r="DU89" s="414"/>
      <c r="DV89" s="414"/>
      <c r="DW89" s="414"/>
      <c r="DX89" s="414"/>
      <c r="DY89" s="414"/>
      <c r="DZ89" s="414"/>
      <c r="EA89" s="414"/>
      <c r="EB89" s="414"/>
      <c r="EC89" s="414"/>
      <c r="ED89" s="414"/>
      <c r="EE89" s="450"/>
      <c r="EF89" s="413"/>
      <c r="EG89" s="414"/>
      <c r="EH89" s="414"/>
      <c r="EI89" s="414"/>
      <c r="EJ89" s="414"/>
      <c r="EK89" s="414"/>
      <c r="EL89" s="414"/>
      <c r="EM89" s="414"/>
      <c r="EN89" s="414"/>
      <c r="EO89" s="414"/>
      <c r="EP89" s="414"/>
      <c r="EQ89" s="414"/>
      <c r="ER89" s="450"/>
      <c r="ES89" s="413" t="s">
        <v>43</v>
      </c>
      <c r="ET89" s="414"/>
      <c r="EU89" s="414"/>
      <c r="EV89" s="414"/>
      <c r="EW89" s="414"/>
      <c r="EX89" s="414"/>
      <c r="EY89" s="414"/>
      <c r="EZ89" s="414"/>
      <c r="FA89" s="414"/>
      <c r="FB89" s="414"/>
      <c r="FC89" s="414"/>
      <c r="FD89" s="414"/>
      <c r="FE89" s="415"/>
      <c r="FF89" s="140"/>
      <c r="FG89" s="272">
        <f t="shared" si="0"/>
        <v>0</v>
      </c>
    </row>
    <row r="90" spans="1:163" ht="21.75" customHeight="1">
      <c r="A90" s="465" t="s">
        <v>139</v>
      </c>
      <c r="B90" s="466"/>
      <c r="C90" s="466"/>
      <c r="D90" s="466"/>
      <c r="E90" s="466"/>
      <c r="F90" s="466"/>
      <c r="G90" s="466"/>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c r="AS90" s="466"/>
      <c r="AT90" s="466"/>
      <c r="AU90" s="466"/>
      <c r="AV90" s="466"/>
      <c r="AW90" s="466"/>
      <c r="AX90" s="466"/>
      <c r="AY90" s="466"/>
      <c r="AZ90" s="466"/>
      <c r="BA90" s="466"/>
      <c r="BB90" s="466"/>
      <c r="BC90" s="466"/>
      <c r="BD90" s="466"/>
      <c r="BE90" s="466"/>
      <c r="BF90" s="466"/>
      <c r="BG90" s="466"/>
      <c r="BH90" s="466"/>
      <c r="BI90" s="466"/>
      <c r="BJ90" s="466"/>
      <c r="BK90" s="466"/>
      <c r="BL90" s="466"/>
      <c r="BM90" s="466"/>
      <c r="BN90" s="466"/>
      <c r="BO90" s="466"/>
      <c r="BP90" s="466"/>
      <c r="BQ90" s="466"/>
      <c r="BR90" s="466"/>
      <c r="BS90" s="466"/>
      <c r="BT90" s="466"/>
      <c r="BU90" s="466"/>
      <c r="BV90" s="466"/>
      <c r="BW90" s="466"/>
      <c r="BX90" s="428" t="s">
        <v>140</v>
      </c>
      <c r="BY90" s="429"/>
      <c r="BZ90" s="429"/>
      <c r="CA90" s="429"/>
      <c r="CB90" s="429"/>
      <c r="CC90" s="429"/>
      <c r="CD90" s="429"/>
      <c r="CE90" s="430"/>
      <c r="CF90" s="431" t="s">
        <v>141</v>
      </c>
      <c r="CG90" s="429"/>
      <c r="CH90" s="429"/>
      <c r="CI90" s="429"/>
      <c r="CJ90" s="429"/>
      <c r="CK90" s="429"/>
      <c r="CL90" s="429"/>
      <c r="CM90" s="429"/>
      <c r="CN90" s="429"/>
      <c r="CO90" s="429"/>
      <c r="CP90" s="429"/>
      <c r="CQ90" s="429"/>
      <c r="CR90" s="430"/>
      <c r="CS90" s="431"/>
      <c r="CT90" s="429"/>
      <c r="CU90" s="429"/>
      <c r="CV90" s="429"/>
      <c r="CW90" s="429"/>
      <c r="CX90" s="429"/>
      <c r="CY90" s="429"/>
      <c r="CZ90" s="429"/>
      <c r="DA90" s="429"/>
      <c r="DB90" s="429"/>
      <c r="DC90" s="429"/>
      <c r="DD90" s="429"/>
      <c r="DE90" s="430"/>
      <c r="DF90" s="413"/>
      <c r="DG90" s="414"/>
      <c r="DH90" s="414"/>
      <c r="DI90" s="414"/>
      <c r="DJ90" s="414"/>
      <c r="DK90" s="414"/>
      <c r="DL90" s="414"/>
      <c r="DM90" s="414"/>
      <c r="DN90" s="414"/>
      <c r="DO90" s="414"/>
      <c r="DP90" s="414"/>
      <c r="DQ90" s="414"/>
      <c r="DR90" s="450"/>
      <c r="DS90" s="413"/>
      <c r="DT90" s="414"/>
      <c r="DU90" s="414"/>
      <c r="DV90" s="414"/>
      <c r="DW90" s="414"/>
      <c r="DX90" s="414"/>
      <c r="DY90" s="414"/>
      <c r="DZ90" s="414"/>
      <c r="EA90" s="414"/>
      <c r="EB90" s="414"/>
      <c r="EC90" s="414"/>
      <c r="ED90" s="414"/>
      <c r="EE90" s="450"/>
      <c r="EF90" s="413"/>
      <c r="EG90" s="414"/>
      <c r="EH90" s="414"/>
      <c r="EI90" s="414"/>
      <c r="EJ90" s="414"/>
      <c r="EK90" s="414"/>
      <c r="EL90" s="414"/>
      <c r="EM90" s="414"/>
      <c r="EN90" s="414"/>
      <c r="EO90" s="414"/>
      <c r="EP90" s="414"/>
      <c r="EQ90" s="414"/>
      <c r="ER90" s="450"/>
      <c r="ES90" s="413" t="s">
        <v>43</v>
      </c>
      <c r="ET90" s="414"/>
      <c r="EU90" s="414"/>
      <c r="EV90" s="414"/>
      <c r="EW90" s="414"/>
      <c r="EX90" s="414"/>
      <c r="EY90" s="414"/>
      <c r="EZ90" s="414"/>
      <c r="FA90" s="414"/>
      <c r="FB90" s="414"/>
      <c r="FC90" s="414"/>
      <c r="FD90" s="414"/>
      <c r="FE90" s="415"/>
      <c r="FF90" s="140"/>
      <c r="FG90" s="272">
        <f t="shared" si="0"/>
        <v>0</v>
      </c>
    </row>
    <row r="91" spans="1:163" ht="10.5" customHeight="1">
      <c r="A91" s="465" t="s">
        <v>142</v>
      </c>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6"/>
      <c r="BO91" s="466"/>
      <c r="BP91" s="466"/>
      <c r="BQ91" s="466"/>
      <c r="BR91" s="466"/>
      <c r="BS91" s="466"/>
      <c r="BT91" s="466"/>
      <c r="BU91" s="466"/>
      <c r="BV91" s="466"/>
      <c r="BW91" s="466"/>
      <c r="BX91" s="428" t="s">
        <v>143</v>
      </c>
      <c r="BY91" s="429"/>
      <c r="BZ91" s="429"/>
      <c r="CA91" s="429"/>
      <c r="CB91" s="429"/>
      <c r="CC91" s="429"/>
      <c r="CD91" s="429"/>
      <c r="CE91" s="430"/>
      <c r="CF91" s="431" t="s">
        <v>144</v>
      </c>
      <c r="CG91" s="429"/>
      <c r="CH91" s="429"/>
      <c r="CI91" s="429"/>
      <c r="CJ91" s="429"/>
      <c r="CK91" s="429"/>
      <c r="CL91" s="429"/>
      <c r="CM91" s="429"/>
      <c r="CN91" s="429"/>
      <c r="CO91" s="429"/>
      <c r="CP91" s="429"/>
      <c r="CQ91" s="429"/>
      <c r="CR91" s="430"/>
      <c r="CS91" s="431"/>
      <c r="CT91" s="429"/>
      <c r="CU91" s="429"/>
      <c r="CV91" s="429"/>
      <c r="CW91" s="429"/>
      <c r="CX91" s="429"/>
      <c r="CY91" s="429"/>
      <c r="CZ91" s="429"/>
      <c r="DA91" s="429"/>
      <c r="DB91" s="429"/>
      <c r="DC91" s="429"/>
      <c r="DD91" s="429"/>
      <c r="DE91" s="430"/>
      <c r="DF91" s="413"/>
      <c r="DG91" s="414"/>
      <c r="DH91" s="414"/>
      <c r="DI91" s="414"/>
      <c r="DJ91" s="414"/>
      <c r="DK91" s="414"/>
      <c r="DL91" s="414"/>
      <c r="DM91" s="414"/>
      <c r="DN91" s="414"/>
      <c r="DO91" s="414"/>
      <c r="DP91" s="414"/>
      <c r="DQ91" s="414"/>
      <c r="DR91" s="450"/>
      <c r="DS91" s="413"/>
      <c r="DT91" s="414"/>
      <c r="DU91" s="414"/>
      <c r="DV91" s="414"/>
      <c r="DW91" s="414"/>
      <c r="DX91" s="414"/>
      <c r="DY91" s="414"/>
      <c r="DZ91" s="414"/>
      <c r="EA91" s="414"/>
      <c r="EB91" s="414"/>
      <c r="EC91" s="414"/>
      <c r="ED91" s="414"/>
      <c r="EE91" s="450"/>
      <c r="EF91" s="413"/>
      <c r="EG91" s="414"/>
      <c r="EH91" s="414"/>
      <c r="EI91" s="414"/>
      <c r="EJ91" s="414"/>
      <c r="EK91" s="414"/>
      <c r="EL91" s="414"/>
      <c r="EM91" s="414"/>
      <c r="EN91" s="414"/>
      <c r="EO91" s="414"/>
      <c r="EP91" s="414"/>
      <c r="EQ91" s="414"/>
      <c r="ER91" s="450"/>
      <c r="ES91" s="413" t="s">
        <v>43</v>
      </c>
      <c r="ET91" s="414"/>
      <c r="EU91" s="414"/>
      <c r="EV91" s="414"/>
      <c r="EW91" s="414"/>
      <c r="EX91" s="414"/>
      <c r="EY91" s="414"/>
      <c r="EZ91" s="414"/>
      <c r="FA91" s="414"/>
      <c r="FB91" s="414"/>
      <c r="FC91" s="414"/>
      <c r="FD91" s="414"/>
      <c r="FE91" s="415"/>
      <c r="FF91" s="140"/>
      <c r="FG91" s="272">
        <f t="shared" si="0"/>
        <v>0</v>
      </c>
    </row>
    <row r="92" spans="1:163" ht="21.75" customHeight="1">
      <c r="A92" s="465" t="s">
        <v>145</v>
      </c>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466"/>
      <c r="BR92" s="466"/>
      <c r="BS92" s="466"/>
      <c r="BT92" s="466"/>
      <c r="BU92" s="466"/>
      <c r="BV92" s="466"/>
      <c r="BW92" s="466"/>
      <c r="BX92" s="428" t="s">
        <v>146</v>
      </c>
      <c r="BY92" s="429"/>
      <c r="BZ92" s="429"/>
      <c r="CA92" s="429"/>
      <c r="CB92" s="429"/>
      <c r="CC92" s="429"/>
      <c r="CD92" s="429"/>
      <c r="CE92" s="430"/>
      <c r="CF92" s="431" t="s">
        <v>147</v>
      </c>
      <c r="CG92" s="429"/>
      <c r="CH92" s="429"/>
      <c r="CI92" s="429"/>
      <c r="CJ92" s="429"/>
      <c r="CK92" s="429"/>
      <c r="CL92" s="429"/>
      <c r="CM92" s="429"/>
      <c r="CN92" s="429"/>
      <c r="CO92" s="429"/>
      <c r="CP92" s="429"/>
      <c r="CQ92" s="429"/>
      <c r="CR92" s="430"/>
      <c r="CS92" s="431"/>
      <c r="CT92" s="429"/>
      <c r="CU92" s="429"/>
      <c r="CV92" s="429"/>
      <c r="CW92" s="429"/>
      <c r="CX92" s="429"/>
      <c r="CY92" s="429"/>
      <c r="CZ92" s="429"/>
      <c r="DA92" s="429"/>
      <c r="DB92" s="429"/>
      <c r="DC92" s="429"/>
      <c r="DD92" s="429"/>
      <c r="DE92" s="430"/>
      <c r="DF92" s="413"/>
      <c r="DG92" s="414"/>
      <c r="DH92" s="414"/>
      <c r="DI92" s="414"/>
      <c r="DJ92" s="414"/>
      <c r="DK92" s="414"/>
      <c r="DL92" s="414"/>
      <c r="DM92" s="414"/>
      <c r="DN92" s="414"/>
      <c r="DO92" s="414"/>
      <c r="DP92" s="414"/>
      <c r="DQ92" s="414"/>
      <c r="DR92" s="450"/>
      <c r="DS92" s="413"/>
      <c r="DT92" s="414"/>
      <c r="DU92" s="414"/>
      <c r="DV92" s="414"/>
      <c r="DW92" s="414"/>
      <c r="DX92" s="414"/>
      <c r="DY92" s="414"/>
      <c r="DZ92" s="414"/>
      <c r="EA92" s="414"/>
      <c r="EB92" s="414"/>
      <c r="EC92" s="414"/>
      <c r="ED92" s="414"/>
      <c r="EE92" s="450"/>
      <c r="EF92" s="413"/>
      <c r="EG92" s="414"/>
      <c r="EH92" s="414"/>
      <c r="EI92" s="414"/>
      <c r="EJ92" s="414"/>
      <c r="EK92" s="414"/>
      <c r="EL92" s="414"/>
      <c r="EM92" s="414"/>
      <c r="EN92" s="414"/>
      <c r="EO92" s="414"/>
      <c r="EP92" s="414"/>
      <c r="EQ92" s="414"/>
      <c r="ER92" s="450"/>
      <c r="ES92" s="413" t="s">
        <v>43</v>
      </c>
      <c r="ET92" s="414"/>
      <c r="EU92" s="414"/>
      <c r="EV92" s="414"/>
      <c r="EW92" s="414"/>
      <c r="EX92" s="414"/>
      <c r="EY92" s="414"/>
      <c r="EZ92" s="414"/>
      <c r="FA92" s="414"/>
      <c r="FB92" s="414"/>
      <c r="FC92" s="414"/>
      <c r="FD92" s="414"/>
      <c r="FE92" s="415"/>
      <c r="FF92" s="140"/>
      <c r="FG92" s="272">
        <f t="shared" si="0"/>
        <v>0</v>
      </c>
    </row>
    <row r="93" spans="1:163" ht="10.5" customHeight="1">
      <c r="A93" s="478" t="s">
        <v>148</v>
      </c>
      <c r="B93" s="479"/>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c r="BL93" s="479"/>
      <c r="BM93" s="479"/>
      <c r="BN93" s="479"/>
      <c r="BO93" s="479"/>
      <c r="BP93" s="479"/>
      <c r="BQ93" s="479"/>
      <c r="BR93" s="479"/>
      <c r="BS93" s="479"/>
      <c r="BT93" s="479"/>
      <c r="BU93" s="479"/>
      <c r="BV93" s="479"/>
      <c r="BW93" s="479"/>
      <c r="BX93" s="428" t="s">
        <v>149</v>
      </c>
      <c r="BY93" s="429"/>
      <c r="BZ93" s="429"/>
      <c r="CA93" s="429"/>
      <c r="CB93" s="429"/>
      <c r="CC93" s="429"/>
      <c r="CD93" s="429"/>
      <c r="CE93" s="430"/>
      <c r="CF93" s="431" t="s">
        <v>43</v>
      </c>
      <c r="CG93" s="429"/>
      <c r="CH93" s="429"/>
      <c r="CI93" s="429"/>
      <c r="CJ93" s="429"/>
      <c r="CK93" s="429"/>
      <c r="CL93" s="429"/>
      <c r="CM93" s="429"/>
      <c r="CN93" s="429"/>
      <c r="CO93" s="429"/>
      <c r="CP93" s="429"/>
      <c r="CQ93" s="429"/>
      <c r="CR93" s="430"/>
      <c r="CS93" s="431"/>
      <c r="CT93" s="429"/>
      <c r="CU93" s="429"/>
      <c r="CV93" s="429"/>
      <c r="CW93" s="429"/>
      <c r="CX93" s="429"/>
      <c r="CY93" s="429"/>
      <c r="CZ93" s="429"/>
      <c r="DA93" s="429"/>
      <c r="DB93" s="429"/>
      <c r="DC93" s="429"/>
      <c r="DD93" s="429"/>
      <c r="DE93" s="430"/>
      <c r="DF93" s="482">
        <f>DF94+DF95</f>
        <v>10000</v>
      </c>
      <c r="DG93" s="483"/>
      <c r="DH93" s="483"/>
      <c r="DI93" s="483"/>
      <c r="DJ93" s="483"/>
      <c r="DK93" s="483"/>
      <c r="DL93" s="483"/>
      <c r="DM93" s="483"/>
      <c r="DN93" s="483"/>
      <c r="DO93" s="483"/>
      <c r="DP93" s="483"/>
      <c r="DQ93" s="483"/>
      <c r="DR93" s="484"/>
      <c r="DS93" s="413"/>
      <c r="DT93" s="414"/>
      <c r="DU93" s="414"/>
      <c r="DV93" s="414"/>
      <c r="DW93" s="414"/>
      <c r="DX93" s="414"/>
      <c r="DY93" s="414"/>
      <c r="DZ93" s="414"/>
      <c r="EA93" s="414"/>
      <c r="EB93" s="414"/>
      <c r="EC93" s="414"/>
      <c r="ED93" s="414"/>
      <c r="EE93" s="450"/>
      <c r="EF93" s="413"/>
      <c r="EG93" s="414"/>
      <c r="EH93" s="414"/>
      <c r="EI93" s="414"/>
      <c r="EJ93" s="414"/>
      <c r="EK93" s="414"/>
      <c r="EL93" s="414"/>
      <c r="EM93" s="414"/>
      <c r="EN93" s="414"/>
      <c r="EO93" s="414"/>
      <c r="EP93" s="414"/>
      <c r="EQ93" s="414"/>
      <c r="ER93" s="450"/>
      <c r="ES93" s="413" t="s">
        <v>43</v>
      </c>
      <c r="ET93" s="414"/>
      <c r="EU93" s="414"/>
      <c r="EV93" s="414"/>
      <c r="EW93" s="414"/>
      <c r="EX93" s="414"/>
      <c r="EY93" s="414"/>
      <c r="EZ93" s="414"/>
      <c r="FA93" s="414"/>
      <c r="FB93" s="414"/>
      <c r="FC93" s="414"/>
      <c r="FD93" s="414"/>
      <c r="FE93" s="415"/>
      <c r="FF93" s="140"/>
      <c r="FG93" s="272"/>
    </row>
    <row r="94" spans="1:163" ht="20.25" customHeight="1">
      <c r="A94" s="465" t="s">
        <v>150</v>
      </c>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466"/>
      <c r="BS94" s="466"/>
      <c r="BT94" s="466"/>
      <c r="BU94" s="466"/>
      <c r="BV94" s="466"/>
      <c r="BW94" s="466"/>
      <c r="BX94" s="385" t="s">
        <v>151</v>
      </c>
      <c r="BY94" s="386"/>
      <c r="BZ94" s="386"/>
      <c r="CA94" s="386"/>
      <c r="CB94" s="386"/>
      <c r="CC94" s="386"/>
      <c r="CD94" s="386"/>
      <c r="CE94" s="387"/>
      <c r="CF94" s="431" t="s">
        <v>152</v>
      </c>
      <c r="CG94" s="429"/>
      <c r="CH94" s="429"/>
      <c r="CI94" s="429"/>
      <c r="CJ94" s="429"/>
      <c r="CK94" s="429"/>
      <c r="CL94" s="429"/>
      <c r="CM94" s="429"/>
      <c r="CN94" s="429"/>
      <c r="CO94" s="429"/>
      <c r="CP94" s="429"/>
      <c r="CQ94" s="429"/>
      <c r="CR94" s="430"/>
      <c r="CS94" s="431" t="s">
        <v>651</v>
      </c>
      <c r="CT94" s="429"/>
      <c r="CU94" s="429"/>
      <c r="CV94" s="429"/>
      <c r="CW94" s="429"/>
      <c r="CX94" s="429"/>
      <c r="CY94" s="429"/>
      <c r="CZ94" s="429"/>
      <c r="DA94" s="429"/>
      <c r="DB94" s="429"/>
      <c r="DC94" s="429"/>
      <c r="DD94" s="429"/>
      <c r="DE94" s="430"/>
      <c r="DF94" s="482">
        <f>'Раздел  обоснование 2022сш'!E101</f>
        <v>10000</v>
      </c>
      <c r="DG94" s="414"/>
      <c r="DH94" s="414"/>
      <c r="DI94" s="414"/>
      <c r="DJ94" s="414"/>
      <c r="DK94" s="414"/>
      <c r="DL94" s="414"/>
      <c r="DM94" s="414"/>
      <c r="DN94" s="414"/>
      <c r="DO94" s="414"/>
      <c r="DP94" s="414"/>
      <c r="DQ94" s="414"/>
      <c r="DR94" s="450"/>
      <c r="DS94" s="413"/>
      <c r="DT94" s="414"/>
      <c r="DU94" s="414"/>
      <c r="DV94" s="414"/>
      <c r="DW94" s="414"/>
      <c r="DX94" s="414"/>
      <c r="DY94" s="414"/>
      <c r="DZ94" s="414"/>
      <c r="EA94" s="414"/>
      <c r="EB94" s="414"/>
      <c r="EC94" s="414"/>
      <c r="ED94" s="414"/>
      <c r="EE94" s="450"/>
      <c r="EF94" s="413"/>
      <c r="EG94" s="414"/>
      <c r="EH94" s="414"/>
      <c r="EI94" s="414"/>
      <c r="EJ94" s="414"/>
      <c r="EK94" s="414"/>
      <c r="EL94" s="414"/>
      <c r="EM94" s="414"/>
      <c r="EN94" s="414"/>
      <c r="EO94" s="414"/>
      <c r="EP94" s="414"/>
      <c r="EQ94" s="414"/>
      <c r="ER94" s="450"/>
      <c r="ES94" s="413" t="s">
        <v>43</v>
      </c>
      <c r="ET94" s="414"/>
      <c r="EU94" s="414"/>
      <c r="EV94" s="414"/>
      <c r="EW94" s="414"/>
      <c r="EX94" s="414"/>
      <c r="EY94" s="414"/>
      <c r="EZ94" s="414"/>
      <c r="FA94" s="414"/>
      <c r="FB94" s="414"/>
      <c r="FC94" s="414"/>
      <c r="FD94" s="414"/>
      <c r="FE94" s="415"/>
      <c r="FF94" s="140">
        <v>10000</v>
      </c>
      <c r="FG94" s="272">
        <f t="shared" si="0"/>
        <v>0</v>
      </c>
    </row>
    <row r="95" spans="1:163" ht="21" customHeight="1">
      <c r="A95" s="480" t="s">
        <v>654</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388"/>
      <c r="BY95" s="389"/>
      <c r="BZ95" s="389"/>
      <c r="CA95" s="389"/>
      <c r="CB95" s="389"/>
      <c r="CC95" s="389"/>
      <c r="CD95" s="389"/>
      <c r="CE95" s="390"/>
      <c r="CF95" s="431" t="s">
        <v>152</v>
      </c>
      <c r="CG95" s="429"/>
      <c r="CH95" s="429"/>
      <c r="CI95" s="429"/>
      <c r="CJ95" s="429"/>
      <c r="CK95" s="429"/>
      <c r="CL95" s="429"/>
      <c r="CM95" s="429"/>
      <c r="CN95" s="429"/>
      <c r="CO95" s="429"/>
      <c r="CP95" s="429"/>
      <c r="CQ95" s="429"/>
      <c r="CR95" s="430"/>
      <c r="CS95" s="431" t="s">
        <v>652</v>
      </c>
      <c r="CT95" s="429"/>
      <c r="CU95" s="429"/>
      <c r="CV95" s="429"/>
      <c r="CW95" s="429"/>
      <c r="CX95" s="429"/>
      <c r="CY95" s="429"/>
      <c r="CZ95" s="429"/>
      <c r="DA95" s="429"/>
      <c r="DB95" s="429"/>
      <c r="DC95" s="429"/>
      <c r="DD95" s="429"/>
      <c r="DE95" s="430"/>
      <c r="DF95" s="482">
        <f>'Раздел  обоснование 2022сш'!E102</f>
        <v>0</v>
      </c>
      <c r="DG95" s="414"/>
      <c r="DH95" s="414"/>
      <c r="DI95" s="414"/>
      <c r="DJ95" s="414"/>
      <c r="DK95" s="414"/>
      <c r="DL95" s="414"/>
      <c r="DM95" s="414"/>
      <c r="DN95" s="414"/>
      <c r="DO95" s="414"/>
      <c r="DP95" s="414"/>
      <c r="DQ95" s="414"/>
      <c r="DR95" s="450"/>
      <c r="DS95" s="274"/>
      <c r="DT95" s="275"/>
      <c r="DU95" s="275"/>
      <c r="DV95" s="275"/>
      <c r="DW95" s="275"/>
      <c r="DX95" s="275"/>
      <c r="DY95" s="275"/>
      <c r="DZ95" s="275"/>
      <c r="EA95" s="275"/>
      <c r="EB95" s="275"/>
      <c r="EC95" s="275"/>
      <c r="ED95" s="275"/>
      <c r="EE95" s="277"/>
      <c r="EF95" s="274"/>
      <c r="EG95" s="275"/>
      <c r="EH95" s="275"/>
      <c r="EI95" s="275"/>
      <c r="EJ95" s="275"/>
      <c r="EK95" s="275"/>
      <c r="EL95" s="275"/>
      <c r="EM95" s="275"/>
      <c r="EN95" s="275"/>
      <c r="EO95" s="275"/>
      <c r="EP95" s="275"/>
      <c r="EQ95" s="275"/>
      <c r="ER95" s="277"/>
      <c r="ES95" s="274"/>
      <c r="ET95" s="275"/>
      <c r="EU95" s="275"/>
      <c r="EV95" s="275"/>
      <c r="EW95" s="275"/>
      <c r="EX95" s="275"/>
      <c r="EY95" s="275"/>
      <c r="EZ95" s="275"/>
      <c r="FA95" s="275"/>
      <c r="FB95" s="275"/>
      <c r="FC95" s="275"/>
      <c r="FD95" s="275"/>
      <c r="FE95" s="276"/>
      <c r="FF95" s="140"/>
      <c r="FG95" s="272">
        <f t="shared" si="0"/>
        <v>0</v>
      </c>
    </row>
    <row r="96" spans="1:163" ht="12.75" customHeight="1">
      <c r="A96" s="478" t="s">
        <v>153</v>
      </c>
      <c r="B96" s="479"/>
      <c r="C96" s="479"/>
      <c r="D96" s="479"/>
      <c r="E96" s="479"/>
      <c r="F96" s="479"/>
      <c r="G96" s="479"/>
      <c r="H96" s="479"/>
      <c r="I96" s="479"/>
      <c r="J96" s="479"/>
      <c r="K96" s="479"/>
      <c r="L96" s="479"/>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c r="BL96" s="479"/>
      <c r="BM96" s="479"/>
      <c r="BN96" s="479"/>
      <c r="BO96" s="479"/>
      <c r="BP96" s="479"/>
      <c r="BQ96" s="479"/>
      <c r="BR96" s="479"/>
      <c r="BS96" s="479"/>
      <c r="BT96" s="479"/>
      <c r="BU96" s="479"/>
      <c r="BV96" s="479"/>
      <c r="BW96" s="479"/>
      <c r="BX96" s="428" t="s">
        <v>154</v>
      </c>
      <c r="BY96" s="429"/>
      <c r="BZ96" s="429"/>
      <c r="CA96" s="429"/>
      <c r="CB96" s="429"/>
      <c r="CC96" s="429"/>
      <c r="CD96" s="429"/>
      <c r="CE96" s="430"/>
      <c r="CF96" s="431" t="s">
        <v>43</v>
      </c>
      <c r="CG96" s="429"/>
      <c r="CH96" s="429"/>
      <c r="CI96" s="429"/>
      <c r="CJ96" s="429"/>
      <c r="CK96" s="429"/>
      <c r="CL96" s="429"/>
      <c r="CM96" s="429"/>
      <c r="CN96" s="429"/>
      <c r="CO96" s="429"/>
      <c r="CP96" s="429"/>
      <c r="CQ96" s="429"/>
      <c r="CR96" s="430"/>
      <c r="CS96" s="431"/>
      <c r="CT96" s="429"/>
      <c r="CU96" s="429"/>
      <c r="CV96" s="429"/>
      <c r="CW96" s="429"/>
      <c r="CX96" s="429"/>
      <c r="CY96" s="429"/>
      <c r="CZ96" s="429"/>
      <c r="DA96" s="429"/>
      <c r="DB96" s="429"/>
      <c r="DC96" s="429"/>
      <c r="DD96" s="429"/>
      <c r="DE96" s="430"/>
      <c r="DF96" s="477">
        <f>DF97+DF98+DF99+DF101+DF100</f>
        <v>35221238.393138915</v>
      </c>
      <c r="DG96" s="414"/>
      <c r="DH96" s="414"/>
      <c r="DI96" s="414"/>
      <c r="DJ96" s="414"/>
      <c r="DK96" s="414"/>
      <c r="DL96" s="414"/>
      <c r="DM96" s="414"/>
      <c r="DN96" s="414"/>
      <c r="DO96" s="414"/>
      <c r="DP96" s="414"/>
      <c r="DQ96" s="414"/>
      <c r="DR96" s="450"/>
      <c r="DS96" s="477">
        <f>DS97+DS98+DS99+DS101</f>
        <v>34825243.37680024</v>
      </c>
      <c r="DT96" s="414"/>
      <c r="DU96" s="414"/>
      <c r="DV96" s="414"/>
      <c r="DW96" s="414"/>
      <c r="DX96" s="414"/>
      <c r="DY96" s="414"/>
      <c r="DZ96" s="414"/>
      <c r="EA96" s="414"/>
      <c r="EB96" s="414"/>
      <c r="EC96" s="414"/>
      <c r="ED96" s="414"/>
      <c r="EE96" s="450"/>
      <c r="EF96" s="477">
        <f>EF97+EF98+EF99+EF101</f>
        <v>36331966.37680025</v>
      </c>
      <c r="EG96" s="414"/>
      <c r="EH96" s="414"/>
      <c r="EI96" s="414"/>
      <c r="EJ96" s="414"/>
      <c r="EK96" s="414"/>
      <c r="EL96" s="414"/>
      <c r="EM96" s="414"/>
      <c r="EN96" s="414"/>
      <c r="EO96" s="414"/>
      <c r="EP96" s="414"/>
      <c r="EQ96" s="414"/>
      <c r="ER96" s="450"/>
      <c r="ES96" s="413"/>
      <c r="ET96" s="414"/>
      <c r="EU96" s="414"/>
      <c r="EV96" s="414"/>
      <c r="EW96" s="414"/>
      <c r="EX96" s="414"/>
      <c r="EY96" s="414"/>
      <c r="EZ96" s="414"/>
      <c r="FA96" s="414"/>
      <c r="FB96" s="414"/>
      <c r="FC96" s="414"/>
      <c r="FD96" s="414"/>
      <c r="FE96" s="415"/>
      <c r="FF96" s="140"/>
      <c r="FG96" s="272"/>
    </row>
    <row r="97" spans="1:163" ht="21.75" customHeight="1">
      <c r="A97" s="465" t="s">
        <v>155</v>
      </c>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466"/>
      <c r="BP97" s="466"/>
      <c r="BQ97" s="466"/>
      <c r="BR97" s="466"/>
      <c r="BS97" s="466"/>
      <c r="BT97" s="466"/>
      <c r="BU97" s="466"/>
      <c r="BV97" s="466"/>
      <c r="BW97" s="466"/>
      <c r="BX97" s="428" t="s">
        <v>156</v>
      </c>
      <c r="BY97" s="429"/>
      <c r="BZ97" s="429"/>
      <c r="CA97" s="429"/>
      <c r="CB97" s="429"/>
      <c r="CC97" s="429"/>
      <c r="CD97" s="429"/>
      <c r="CE97" s="430"/>
      <c r="CF97" s="431" t="s">
        <v>157</v>
      </c>
      <c r="CG97" s="429"/>
      <c r="CH97" s="429"/>
      <c r="CI97" s="429"/>
      <c r="CJ97" s="429"/>
      <c r="CK97" s="429"/>
      <c r="CL97" s="429"/>
      <c r="CM97" s="429"/>
      <c r="CN97" s="429"/>
      <c r="CO97" s="429"/>
      <c r="CP97" s="429"/>
      <c r="CQ97" s="429"/>
      <c r="CR97" s="430"/>
      <c r="CS97" s="431"/>
      <c r="CT97" s="429"/>
      <c r="CU97" s="429"/>
      <c r="CV97" s="429"/>
      <c r="CW97" s="429"/>
      <c r="CX97" s="429"/>
      <c r="CY97" s="429"/>
      <c r="CZ97" s="429"/>
      <c r="DA97" s="429"/>
      <c r="DB97" s="429"/>
      <c r="DC97" s="429"/>
      <c r="DD97" s="429"/>
      <c r="DE97" s="430"/>
      <c r="DF97" s="413"/>
      <c r="DG97" s="414"/>
      <c r="DH97" s="414"/>
      <c r="DI97" s="414"/>
      <c r="DJ97" s="414"/>
      <c r="DK97" s="414"/>
      <c r="DL97" s="414"/>
      <c r="DM97" s="414"/>
      <c r="DN97" s="414"/>
      <c r="DO97" s="414"/>
      <c r="DP97" s="414"/>
      <c r="DQ97" s="414"/>
      <c r="DR97" s="450"/>
      <c r="DS97" s="413"/>
      <c r="DT97" s="414"/>
      <c r="DU97" s="414"/>
      <c r="DV97" s="414"/>
      <c r="DW97" s="414"/>
      <c r="DX97" s="414"/>
      <c r="DY97" s="414"/>
      <c r="DZ97" s="414"/>
      <c r="EA97" s="414"/>
      <c r="EB97" s="414"/>
      <c r="EC97" s="414"/>
      <c r="ED97" s="414"/>
      <c r="EE97" s="450"/>
      <c r="EF97" s="413"/>
      <c r="EG97" s="414"/>
      <c r="EH97" s="414"/>
      <c r="EI97" s="414"/>
      <c r="EJ97" s="414"/>
      <c r="EK97" s="414"/>
      <c r="EL97" s="414"/>
      <c r="EM97" s="414"/>
      <c r="EN97" s="414"/>
      <c r="EO97" s="414"/>
      <c r="EP97" s="414"/>
      <c r="EQ97" s="414"/>
      <c r="ER97" s="450"/>
      <c r="ES97" s="413"/>
      <c r="ET97" s="414"/>
      <c r="EU97" s="414"/>
      <c r="EV97" s="414"/>
      <c r="EW97" s="414"/>
      <c r="EX97" s="414"/>
      <c r="EY97" s="414"/>
      <c r="EZ97" s="414"/>
      <c r="FA97" s="414"/>
      <c r="FB97" s="414"/>
      <c r="FC97" s="414"/>
      <c r="FD97" s="414"/>
      <c r="FE97" s="415"/>
      <c r="FF97" s="140"/>
      <c r="FG97" s="272">
        <f t="shared" si="0"/>
        <v>0</v>
      </c>
    </row>
    <row r="98" spans="1:163" ht="13.5" customHeight="1">
      <c r="A98" s="465" t="s">
        <v>158</v>
      </c>
      <c r="B98" s="466"/>
      <c r="C98" s="466"/>
      <c r="D98" s="466"/>
      <c r="E98" s="466"/>
      <c r="F98" s="466"/>
      <c r="G98" s="466"/>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6"/>
      <c r="BQ98" s="466"/>
      <c r="BR98" s="466"/>
      <c r="BS98" s="466"/>
      <c r="BT98" s="466"/>
      <c r="BU98" s="466"/>
      <c r="BV98" s="466"/>
      <c r="BW98" s="466"/>
      <c r="BX98" s="473" t="s">
        <v>159</v>
      </c>
      <c r="BY98" s="474"/>
      <c r="BZ98" s="474"/>
      <c r="CA98" s="474"/>
      <c r="CB98" s="474"/>
      <c r="CC98" s="474"/>
      <c r="CD98" s="474"/>
      <c r="CE98" s="475"/>
      <c r="CF98" s="476" t="s">
        <v>160</v>
      </c>
      <c r="CG98" s="474"/>
      <c r="CH98" s="474"/>
      <c r="CI98" s="474"/>
      <c r="CJ98" s="474"/>
      <c r="CK98" s="474"/>
      <c r="CL98" s="474"/>
      <c r="CM98" s="474"/>
      <c r="CN98" s="474"/>
      <c r="CO98" s="474"/>
      <c r="CP98" s="474"/>
      <c r="CQ98" s="474"/>
      <c r="CR98" s="475"/>
      <c r="CS98" s="476"/>
      <c r="CT98" s="474"/>
      <c r="CU98" s="474"/>
      <c r="CV98" s="474"/>
      <c r="CW98" s="474"/>
      <c r="CX98" s="474"/>
      <c r="CY98" s="474"/>
      <c r="CZ98" s="474"/>
      <c r="DA98" s="474"/>
      <c r="DB98" s="474"/>
      <c r="DC98" s="474"/>
      <c r="DD98" s="474"/>
      <c r="DE98" s="475"/>
      <c r="DF98" s="422"/>
      <c r="DG98" s="423"/>
      <c r="DH98" s="423"/>
      <c r="DI98" s="423"/>
      <c r="DJ98" s="423"/>
      <c r="DK98" s="423"/>
      <c r="DL98" s="423"/>
      <c r="DM98" s="423"/>
      <c r="DN98" s="423"/>
      <c r="DO98" s="423"/>
      <c r="DP98" s="423"/>
      <c r="DQ98" s="423"/>
      <c r="DR98" s="424"/>
      <c r="DS98" s="422"/>
      <c r="DT98" s="423"/>
      <c r="DU98" s="423"/>
      <c r="DV98" s="423"/>
      <c r="DW98" s="423"/>
      <c r="DX98" s="423"/>
      <c r="DY98" s="423"/>
      <c r="DZ98" s="423"/>
      <c r="EA98" s="423"/>
      <c r="EB98" s="423"/>
      <c r="EC98" s="423"/>
      <c r="ED98" s="423"/>
      <c r="EE98" s="424"/>
      <c r="EF98" s="422"/>
      <c r="EG98" s="423"/>
      <c r="EH98" s="423"/>
      <c r="EI98" s="423"/>
      <c r="EJ98" s="423"/>
      <c r="EK98" s="423"/>
      <c r="EL98" s="423"/>
      <c r="EM98" s="423"/>
      <c r="EN98" s="423"/>
      <c r="EO98" s="423"/>
      <c r="EP98" s="423"/>
      <c r="EQ98" s="423"/>
      <c r="ER98" s="424"/>
      <c r="ES98" s="422"/>
      <c r="ET98" s="423"/>
      <c r="EU98" s="423"/>
      <c r="EV98" s="423"/>
      <c r="EW98" s="423"/>
      <c r="EX98" s="423"/>
      <c r="EY98" s="423"/>
      <c r="EZ98" s="423"/>
      <c r="FA98" s="423"/>
      <c r="FB98" s="423"/>
      <c r="FC98" s="423"/>
      <c r="FD98" s="423"/>
      <c r="FE98" s="425"/>
      <c r="FF98" s="140"/>
      <c r="FG98" s="272">
        <f t="shared" si="0"/>
        <v>0</v>
      </c>
    </row>
    <row r="99" spans="1:163" ht="13.5" customHeight="1">
      <c r="A99" s="379" t="s">
        <v>161</v>
      </c>
      <c r="B99" s="380"/>
      <c r="C99" s="380"/>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1"/>
      <c r="BX99" s="385" t="s">
        <v>162</v>
      </c>
      <c r="BY99" s="386"/>
      <c r="BZ99" s="386"/>
      <c r="CA99" s="386"/>
      <c r="CB99" s="386"/>
      <c r="CC99" s="386"/>
      <c r="CD99" s="386"/>
      <c r="CE99" s="387"/>
      <c r="CF99" s="391" t="s">
        <v>163</v>
      </c>
      <c r="CG99" s="386"/>
      <c r="CH99" s="386"/>
      <c r="CI99" s="386"/>
      <c r="CJ99" s="386"/>
      <c r="CK99" s="386"/>
      <c r="CL99" s="386"/>
      <c r="CM99" s="386"/>
      <c r="CN99" s="386"/>
      <c r="CO99" s="386"/>
      <c r="CP99" s="386"/>
      <c r="CQ99" s="386"/>
      <c r="CR99" s="387"/>
      <c r="CS99" s="393" t="s">
        <v>463</v>
      </c>
      <c r="CT99" s="393"/>
      <c r="CU99" s="393"/>
      <c r="CV99" s="393"/>
      <c r="CW99" s="393"/>
      <c r="CX99" s="393"/>
      <c r="CY99" s="393"/>
      <c r="CZ99" s="393"/>
      <c r="DA99" s="393"/>
      <c r="DB99" s="393"/>
      <c r="DC99" s="393"/>
      <c r="DD99" s="393"/>
      <c r="DE99" s="393"/>
      <c r="DF99" s="394">
        <f>'Раздел  обоснование 2022сш'!E185+'Раздел  обоснование 2022сш'!E189+'Раздел  обоснование 2022сш'!E190</f>
        <v>2312594.750000001</v>
      </c>
      <c r="DG99" s="394"/>
      <c r="DH99" s="394"/>
      <c r="DI99" s="394"/>
      <c r="DJ99" s="394"/>
      <c r="DK99" s="394"/>
      <c r="DL99" s="394"/>
      <c r="DM99" s="394"/>
      <c r="DN99" s="394"/>
      <c r="DO99" s="394"/>
      <c r="DP99" s="394"/>
      <c r="DQ99" s="394"/>
      <c r="DR99" s="394"/>
      <c r="DS99" s="376">
        <v>0</v>
      </c>
      <c r="DT99" s="376"/>
      <c r="DU99" s="376"/>
      <c r="DV99" s="376"/>
      <c r="DW99" s="376"/>
      <c r="DX99" s="376"/>
      <c r="DY99" s="376"/>
      <c r="DZ99" s="376"/>
      <c r="EA99" s="376"/>
      <c r="EB99" s="376"/>
      <c r="EC99" s="376"/>
      <c r="ED99" s="376"/>
      <c r="EE99" s="376"/>
      <c r="EF99" s="376">
        <v>0</v>
      </c>
      <c r="EG99" s="376"/>
      <c r="EH99" s="376"/>
      <c r="EI99" s="376"/>
      <c r="EJ99" s="376"/>
      <c r="EK99" s="376"/>
      <c r="EL99" s="376"/>
      <c r="EM99" s="376"/>
      <c r="EN99" s="376"/>
      <c r="EO99" s="376"/>
      <c r="EP99" s="376"/>
      <c r="EQ99" s="376"/>
      <c r="ER99" s="376"/>
      <c r="ES99" s="377"/>
      <c r="ET99" s="377"/>
      <c r="EU99" s="377"/>
      <c r="EV99" s="377"/>
      <c r="EW99" s="377"/>
      <c r="EX99" s="377"/>
      <c r="EY99" s="377"/>
      <c r="EZ99" s="377"/>
      <c r="FA99" s="377"/>
      <c r="FB99" s="377"/>
      <c r="FC99" s="377"/>
      <c r="FD99" s="377"/>
      <c r="FE99" s="378"/>
      <c r="FF99" s="140">
        <f>2312594.75</f>
        <v>2312594.75</v>
      </c>
      <c r="FG99" s="272">
        <f t="shared" si="0"/>
        <v>0</v>
      </c>
    </row>
    <row r="100" spans="1:163" ht="13.5" customHeight="1">
      <c r="A100" s="382"/>
      <c r="B100" s="383"/>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3"/>
      <c r="AY100" s="383"/>
      <c r="AZ100" s="383"/>
      <c r="BA100" s="383"/>
      <c r="BB100" s="383"/>
      <c r="BC100" s="383"/>
      <c r="BD100" s="383"/>
      <c r="BE100" s="383"/>
      <c r="BF100" s="383"/>
      <c r="BG100" s="383"/>
      <c r="BH100" s="383"/>
      <c r="BI100" s="383"/>
      <c r="BJ100" s="383"/>
      <c r="BK100" s="383"/>
      <c r="BL100" s="383"/>
      <c r="BM100" s="383"/>
      <c r="BN100" s="383"/>
      <c r="BO100" s="383"/>
      <c r="BP100" s="383"/>
      <c r="BQ100" s="383"/>
      <c r="BR100" s="383"/>
      <c r="BS100" s="383"/>
      <c r="BT100" s="383"/>
      <c r="BU100" s="383"/>
      <c r="BV100" s="383"/>
      <c r="BW100" s="384"/>
      <c r="BX100" s="388"/>
      <c r="BY100" s="389"/>
      <c r="BZ100" s="389"/>
      <c r="CA100" s="389"/>
      <c r="CB100" s="389"/>
      <c r="CC100" s="389"/>
      <c r="CD100" s="389"/>
      <c r="CE100" s="390"/>
      <c r="CF100" s="392"/>
      <c r="CG100" s="389"/>
      <c r="CH100" s="389"/>
      <c r="CI100" s="389"/>
      <c r="CJ100" s="389"/>
      <c r="CK100" s="389"/>
      <c r="CL100" s="389"/>
      <c r="CM100" s="389"/>
      <c r="CN100" s="389"/>
      <c r="CO100" s="389"/>
      <c r="CP100" s="389"/>
      <c r="CQ100" s="389"/>
      <c r="CR100" s="390"/>
      <c r="CS100" s="393" t="s">
        <v>457</v>
      </c>
      <c r="CT100" s="393"/>
      <c r="CU100" s="393"/>
      <c r="CV100" s="393"/>
      <c r="CW100" s="393"/>
      <c r="CX100" s="393"/>
      <c r="CY100" s="393"/>
      <c r="CZ100" s="393"/>
      <c r="DA100" s="393"/>
      <c r="DB100" s="393"/>
      <c r="DC100" s="393"/>
      <c r="DD100" s="393"/>
      <c r="DE100" s="393"/>
      <c r="DF100" s="394">
        <v>0</v>
      </c>
      <c r="DG100" s="394"/>
      <c r="DH100" s="394"/>
      <c r="DI100" s="394"/>
      <c r="DJ100" s="394"/>
      <c r="DK100" s="394"/>
      <c r="DL100" s="394"/>
      <c r="DM100" s="394"/>
      <c r="DN100" s="394"/>
      <c r="DO100" s="394"/>
      <c r="DP100" s="394"/>
      <c r="DQ100" s="394"/>
      <c r="DR100" s="394"/>
      <c r="DS100" s="376">
        <v>0</v>
      </c>
      <c r="DT100" s="376"/>
      <c r="DU100" s="376"/>
      <c r="DV100" s="376"/>
      <c r="DW100" s="376"/>
      <c r="DX100" s="376"/>
      <c r="DY100" s="376"/>
      <c r="DZ100" s="376"/>
      <c r="EA100" s="376"/>
      <c r="EB100" s="376"/>
      <c r="EC100" s="376"/>
      <c r="ED100" s="376"/>
      <c r="EE100" s="376"/>
      <c r="EF100" s="376">
        <v>0</v>
      </c>
      <c r="EG100" s="376"/>
      <c r="EH100" s="376"/>
      <c r="EI100" s="376"/>
      <c r="EJ100" s="376"/>
      <c r="EK100" s="376"/>
      <c r="EL100" s="376"/>
      <c r="EM100" s="376"/>
      <c r="EN100" s="376"/>
      <c r="EO100" s="376"/>
      <c r="EP100" s="376"/>
      <c r="EQ100" s="376"/>
      <c r="ER100" s="376"/>
      <c r="ES100" s="377"/>
      <c r="ET100" s="377"/>
      <c r="EU100" s="377"/>
      <c r="EV100" s="377"/>
      <c r="EW100" s="377"/>
      <c r="EX100" s="377"/>
      <c r="EY100" s="377"/>
      <c r="EZ100" s="377"/>
      <c r="FA100" s="377"/>
      <c r="FB100" s="377"/>
      <c r="FC100" s="377"/>
      <c r="FD100" s="377"/>
      <c r="FE100" s="378"/>
      <c r="FF100" s="140"/>
      <c r="FG100" s="272">
        <f t="shared" si="0"/>
        <v>0</v>
      </c>
    </row>
    <row r="101" spans="1:179" ht="11.25" customHeight="1">
      <c r="A101" s="470" t="s">
        <v>164</v>
      </c>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471"/>
      <c r="BC101" s="471"/>
      <c r="BD101" s="471"/>
      <c r="BE101" s="471"/>
      <c r="BF101" s="471"/>
      <c r="BG101" s="471"/>
      <c r="BH101" s="471"/>
      <c r="BI101" s="471"/>
      <c r="BJ101" s="471"/>
      <c r="BK101" s="471"/>
      <c r="BL101" s="471"/>
      <c r="BM101" s="471"/>
      <c r="BN101" s="471"/>
      <c r="BO101" s="471"/>
      <c r="BP101" s="471"/>
      <c r="BQ101" s="471"/>
      <c r="BR101" s="471"/>
      <c r="BS101" s="471"/>
      <c r="BT101" s="471"/>
      <c r="BU101" s="471"/>
      <c r="BV101" s="471"/>
      <c r="BW101" s="471"/>
      <c r="BX101" s="426" t="s">
        <v>165</v>
      </c>
      <c r="BY101" s="393"/>
      <c r="BZ101" s="393"/>
      <c r="CA101" s="393"/>
      <c r="CB101" s="393"/>
      <c r="CC101" s="393"/>
      <c r="CD101" s="393"/>
      <c r="CE101" s="393"/>
      <c r="CF101" s="393" t="s">
        <v>538</v>
      </c>
      <c r="CG101" s="393"/>
      <c r="CH101" s="393"/>
      <c r="CI101" s="393"/>
      <c r="CJ101" s="393"/>
      <c r="CK101" s="393"/>
      <c r="CL101" s="393"/>
      <c r="CM101" s="393"/>
      <c r="CN101" s="393"/>
      <c r="CO101" s="393"/>
      <c r="CP101" s="393"/>
      <c r="CQ101" s="393"/>
      <c r="CR101" s="393"/>
      <c r="CS101" s="393"/>
      <c r="CT101" s="393"/>
      <c r="CU101" s="393"/>
      <c r="CV101" s="393"/>
      <c r="CW101" s="393"/>
      <c r="CX101" s="393"/>
      <c r="CY101" s="393"/>
      <c r="CZ101" s="393"/>
      <c r="DA101" s="393"/>
      <c r="DB101" s="393"/>
      <c r="DC101" s="393"/>
      <c r="DD101" s="393"/>
      <c r="DE101" s="393"/>
      <c r="DF101" s="394">
        <f>DF102+DF103+DF104+DF106+DF107+DF108+DF111+DF112+DF105+DF109+DF110</f>
        <v>32908643.643138915</v>
      </c>
      <c r="DG101" s="394"/>
      <c r="DH101" s="394"/>
      <c r="DI101" s="394"/>
      <c r="DJ101" s="394"/>
      <c r="DK101" s="394"/>
      <c r="DL101" s="394"/>
      <c r="DM101" s="394"/>
      <c r="DN101" s="394"/>
      <c r="DO101" s="394"/>
      <c r="DP101" s="394"/>
      <c r="DQ101" s="394"/>
      <c r="DR101" s="394"/>
      <c r="DS101" s="394">
        <f>DS102+DS103+DS104+DS106+DS107+DS108+DS111+DS112+DS105</f>
        <v>34825243.37680024</v>
      </c>
      <c r="DT101" s="394"/>
      <c r="DU101" s="394"/>
      <c r="DV101" s="394"/>
      <c r="DW101" s="394"/>
      <c r="DX101" s="394"/>
      <c r="DY101" s="394"/>
      <c r="DZ101" s="394"/>
      <c r="EA101" s="394"/>
      <c r="EB101" s="394"/>
      <c r="EC101" s="394"/>
      <c r="ED101" s="394"/>
      <c r="EE101" s="394"/>
      <c r="EF101" s="394">
        <f>EF102+EF103+EF104+EF106+EF107+EF108+EF111+EF112+EF105</f>
        <v>36331966.37680025</v>
      </c>
      <c r="EG101" s="394"/>
      <c r="EH101" s="394"/>
      <c r="EI101" s="394"/>
      <c r="EJ101" s="394"/>
      <c r="EK101" s="394"/>
      <c r="EL101" s="394"/>
      <c r="EM101" s="394"/>
      <c r="EN101" s="394"/>
      <c r="EO101" s="394"/>
      <c r="EP101" s="394"/>
      <c r="EQ101" s="394"/>
      <c r="ER101" s="394"/>
      <c r="ES101" s="377"/>
      <c r="ET101" s="377"/>
      <c r="EU101" s="377"/>
      <c r="EV101" s="377"/>
      <c r="EW101" s="377"/>
      <c r="EX101" s="377"/>
      <c r="EY101" s="377"/>
      <c r="EZ101" s="377"/>
      <c r="FA101" s="377"/>
      <c r="FB101" s="377"/>
      <c r="FC101" s="377"/>
      <c r="FD101" s="377"/>
      <c r="FE101" s="378"/>
      <c r="FF101" s="140"/>
      <c r="FG101" s="272"/>
      <c r="FT101" s="278"/>
      <c r="FU101" s="278"/>
      <c r="FV101" s="278"/>
      <c r="FW101" s="278"/>
    </row>
    <row r="102" spans="1:180" s="118" customFormat="1" ht="11.25" customHeight="1">
      <c r="A102" s="435" t="s">
        <v>419</v>
      </c>
      <c r="B102" s="436"/>
      <c r="C102" s="436"/>
      <c r="D102" s="436"/>
      <c r="E102" s="436"/>
      <c r="F102" s="436"/>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6"/>
      <c r="AY102" s="436"/>
      <c r="AZ102" s="436"/>
      <c r="BA102" s="436"/>
      <c r="BB102" s="436"/>
      <c r="BC102" s="436"/>
      <c r="BD102" s="436"/>
      <c r="BE102" s="436"/>
      <c r="BF102" s="436"/>
      <c r="BG102" s="436"/>
      <c r="BH102" s="436"/>
      <c r="BI102" s="436"/>
      <c r="BJ102" s="436"/>
      <c r="BK102" s="436"/>
      <c r="BL102" s="436"/>
      <c r="BM102" s="436"/>
      <c r="BN102" s="436"/>
      <c r="BO102" s="436"/>
      <c r="BP102" s="436"/>
      <c r="BQ102" s="436"/>
      <c r="BR102" s="436"/>
      <c r="BS102" s="436"/>
      <c r="BT102" s="436"/>
      <c r="BU102" s="436"/>
      <c r="BV102" s="436"/>
      <c r="BW102" s="436"/>
      <c r="BX102" s="472"/>
      <c r="BY102" s="468"/>
      <c r="BZ102" s="468"/>
      <c r="CA102" s="468"/>
      <c r="CB102" s="468"/>
      <c r="CC102" s="468"/>
      <c r="CD102" s="468"/>
      <c r="CE102" s="469"/>
      <c r="CF102" s="393" t="s">
        <v>166</v>
      </c>
      <c r="CG102" s="393"/>
      <c r="CH102" s="393"/>
      <c r="CI102" s="393"/>
      <c r="CJ102" s="393"/>
      <c r="CK102" s="393"/>
      <c r="CL102" s="393"/>
      <c r="CM102" s="393"/>
      <c r="CN102" s="393"/>
      <c r="CO102" s="393"/>
      <c r="CP102" s="393"/>
      <c r="CQ102" s="393"/>
      <c r="CR102" s="393"/>
      <c r="CS102" s="467" t="s">
        <v>459</v>
      </c>
      <c r="CT102" s="468"/>
      <c r="CU102" s="468"/>
      <c r="CV102" s="468"/>
      <c r="CW102" s="468"/>
      <c r="CX102" s="468"/>
      <c r="CY102" s="468"/>
      <c r="CZ102" s="468"/>
      <c r="DA102" s="468"/>
      <c r="DB102" s="468"/>
      <c r="DC102" s="468"/>
      <c r="DD102" s="468"/>
      <c r="DE102" s="469"/>
      <c r="DF102" s="416">
        <f>'Раздел  обоснование 2022сш'!F130</f>
        <v>38527.32</v>
      </c>
      <c r="DG102" s="417"/>
      <c r="DH102" s="417"/>
      <c r="DI102" s="417"/>
      <c r="DJ102" s="417"/>
      <c r="DK102" s="417"/>
      <c r="DL102" s="417"/>
      <c r="DM102" s="417"/>
      <c r="DN102" s="417"/>
      <c r="DO102" s="417"/>
      <c r="DP102" s="417"/>
      <c r="DQ102" s="417"/>
      <c r="DR102" s="418"/>
      <c r="DS102" s="416">
        <f>'Раздел  обоснование 2023сш '!F94</f>
        <v>36000</v>
      </c>
      <c r="DT102" s="417"/>
      <c r="DU102" s="417"/>
      <c r="DV102" s="417"/>
      <c r="DW102" s="417"/>
      <c r="DX102" s="417"/>
      <c r="DY102" s="417"/>
      <c r="DZ102" s="417"/>
      <c r="EA102" s="417"/>
      <c r="EB102" s="417"/>
      <c r="EC102" s="417"/>
      <c r="ED102" s="417"/>
      <c r="EE102" s="418"/>
      <c r="EF102" s="416">
        <f>'Раздел  обоснование 2024сш'!F94</f>
        <v>36000</v>
      </c>
      <c r="EG102" s="417"/>
      <c r="EH102" s="417"/>
      <c r="EI102" s="417"/>
      <c r="EJ102" s="417"/>
      <c r="EK102" s="417"/>
      <c r="EL102" s="417"/>
      <c r="EM102" s="417"/>
      <c r="EN102" s="417"/>
      <c r="EO102" s="417"/>
      <c r="EP102" s="417"/>
      <c r="EQ102" s="417"/>
      <c r="ER102" s="418"/>
      <c r="ES102" s="419"/>
      <c r="ET102" s="420"/>
      <c r="EU102" s="420"/>
      <c r="EV102" s="420"/>
      <c r="EW102" s="420"/>
      <c r="EX102" s="420"/>
      <c r="EY102" s="420"/>
      <c r="EZ102" s="420"/>
      <c r="FA102" s="420"/>
      <c r="FB102" s="420"/>
      <c r="FC102" s="420"/>
      <c r="FD102" s="420"/>
      <c r="FE102" s="421"/>
      <c r="FF102" s="140">
        <f>38527.32</f>
        <v>38527.32</v>
      </c>
      <c r="FG102" s="272">
        <f t="shared" si="0"/>
        <v>0</v>
      </c>
      <c r="FS102" s="119"/>
      <c r="FT102" s="120"/>
      <c r="FU102" s="121"/>
      <c r="FV102" s="121"/>
      <c r="FW102" s="122"/>
      <c r="FX102" s="119"/>
    </row>
    <row r="103" spans="1:179" s="118" customFormat="1" ht="11.25" customHeight="1">
      <c r="A103" s="435" t="s">
        <v>420</v>
      </c>
      <c r="B103" s="436"/>
      <c r="C103" s="436"/>
      <c r="D103" s="436"/>
      <c r="E103" s="436"/>
      <c r="F103" s="436"/>
      <c r="G103" s="436"/>
      <c r="H103" s="436"/>
      <c r="I103" s="436"/>
      <c r="J103" s="436"/>
      <c r="K103" s="436"/>
      <c r="L103" s="436"/>
      <c r="M103" s="436"/>
      <c r="N103" s="436"/>
      <c r="O103" s="436"/>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6"/>
      <c r="AY103" s="436"/>
      <c r="AZ103" s="436"/>
      <c r="BA103" s="436"/>
      <c r="BB103" s="436"/>
      <c r="BC103" s="436"/>
      <c r="BD103" s="436"/>
      <c r="BE103" s="436"/>
      <c r="BF103" s="436"/>
      <c r="BG103" s="436"/>
      <c r="BH103" s="436"/>
      <c r="BI103" s="436"/>
      <c r="BJ103" s="436"/>
      <c r="BK103" s="436"/>
      <c r="BL103" s="436"/>
      <c r="BM103" s="436"/>
      <c r="BN103" s="436"/>
      <c r="BO103" s="436"/>
      <c r="BP103" s="436"/>
      <c r="BQ103" s="436"/>
      <c r="BR103" s="436"/>
      <c r="BS103" s="436"/>
      <c r="BT103" s="436"/>
      <c r="BU103" s="436"/>
      <c r="BV103" s="436"/>
      <c r="BW103" s="436"/>
      <c r="BX103" s="407"/>
      <c r="BY103" s="408"/>
      <c r="BZ103" s="408"/>
      <c r="CA103" s="408"/>
      <c r="CB103" s="408"/>
      <c r="CC103" s="408"/>
      <c r="CD103" s="408"/>
      <c r="CE103" s="408"/>
      <c r="CF103" s="393" t="s">
        <v>166</v>
      </c>
      <c r="CG103" s="393"/>
      <c r="CH103" s="393"/>
      <c r="CI103" s="393"/>
      <c r="CJ103" s="393"/>
      <c r="CK103" s="393"/>
      <c r="CL103" s="393"/>
      <c r="CM103" s="393"/>
      <c r="CN103" s="393"/>
      <c r="CO103" s="393"/>
      <c r="CP103" s="393"/>
      <c r="CQ103" s="393"/>
      <c r="CR103" s="393"/>
      <c r="CS103" s="408" t="s">
        <v>460</v>
      </c>
      <c r="CT103" s="408"/>
      <c r="CU103" s="408"/>
      <c r="CV103" s="408"/>
      <c r="CW103" s="408"/>
      <c r="CX103" s="408"/>
      <c r="CY103" s="408"/>
      <c r="CZ103" s="408"/>
      <c r="DA103" s="408"/>
      <c r="DB103" s="408"/>
      <c r="DC103" s="408"/>
      <c r="DD103" s="408"/>
      <c r="DE103" s="408"/>
      <c r="DF103" s="409">
        <f>'Раздел  обоснование 2022сш'!E137</f>
        <v>200000</v>
      </c>
      <c r="DG103" s="409"/>
      <c r="DH103" s="409"/>
      <c r="DI103" s="409"/>
      <c r="DJ103" s="409"/>
      <c r="DK103" s="409"/>
      <c r="DL103" s="409"/>
      <c r="DM103" s="409"/>
      <c r="DN103" s="409"/>
      <c r="DO103" s="409"/>
      <c r="DP103" s="409"/>
      <c r="DQ103" s="409"/>
      <c r="DR103" s="409"/>
      <c r="DS103" s="409">
        <v>0</v>
      </c>
      <c r="DT103" s="409"/>
      <c r="DU103" s="409"/>
      <c r="DV103" s="409"/>
      <c r="DW103" s="409"/>
      <c r="DX103" s="409"/>
      <c r="DY103" s="409"/>
      <c r="DZ103" s="409"/>
      <c r="EA103" s="409"/>
      <c r="EB103" s="409"/>
      <c r="EC103" s="409"/>
      <c r="ED103" s="409"/>
      <c r="EE103" s="409"/>
      <c r="EF103" s="409">
        <v>0</v>
      </c>
      <c r="EG103" s="409"/>
      <c r="EH103" s="409"/>
      <c r="EI103" s="409"/>
      <c r="EJ103" s="409"/>
      <c r="EK103" s="409"/>
      <c r="EL103" s="409"/>
      <c r="EM103" s="409"/>
      <c r="EN103" s="409"/>
      <c r="EO103" s="409"/>
      <c r="EP103" s="409"/>
      <c r="EQ103" s="409"/>
      <c r="ER103" s="409"/>
      <c r="ES103" s="437"/>
      <c r="ET103" s="437"/>
      <c r="EU103" s="437"/>
      <c r="EV103" s="437"/>
      <c r="EW103" s="437"/>
      <c r="EX103" s="437"/>
      <c r="EY103" s="437"/>
      <c r="EZ103" s="437"/>
      <c r="FA103" s="437"/>
      <c r="FB103" s="437"/>
      <c r="FC103" s="437"/>
      <c r="FD103" s="437"/>
      <c r="FE103" s="438"/>
      <c r="FF103" s="140">
        <f>200000</f>
        <v>200000</v>
      </c>
      <c r="FG103" s="272">
        <f t="shared" si="0"/>
        <v>0</v>
      </c>
      <c r="FT103" s="123"/>
      <c r="FU103" s="124"/>
      <c r="FV103" s="124"/>
      <c r="FW103" s="117"/>
    </row>
    <row r="104" spans="1:182" s="118" customFormat="1" ht="11.25" customHeight="1">
      <c r="A104" s="395" t="s">
        <v>539</v>
      </c>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7"/>
      <c r="BX104" s="407"/>
      <c r="BY104" s="408"/>
      <c r="BZ104" s="408"/>
      <c r="CA104" s="408"/>
      <c r="CB104" s="408"/>
      <c r="CC104" s="408"/>
      <c r="CD104" s="408"/>
      <c r="CE104" s="408"/>
      <c r="CF104" s="393" t="s">
        <v>166</v>
      </c>
      <c r="CG104" s="393"/>
      <c r="CH104" s="393"/>
      <c r="CI104" s="393"/>
      <c r="CJ104" s="393"/>
      <c r="CK104" s="393"/>
      <c r="CL104" s="393"/>
      <c r="CM104" s="393"/>
      <c r="CN104" s="393"/>
      <c r="CO104" s="393"/>
      <c r="CP104" s="393"/>
      <c r="CQ104" s="393"/>
      <c r="CR104" s="393"/>
      <c r="CS104" s="401" t="s">
        <v>461</v>
      </c>
      <c r="CT104" s="402"/>
      <c r="CU104" s="402"/>
      <c r="CV104" s="402"/>
      <c r="CW104" s="402"/>
      <c r="CX104" s="402"/>
      <c r="CY104" s="402"/>
      <c r="CZ104" s="402"/>
      <c r="DA104" s="402"/>
      <c r="DB104" s="402"/>
      <c r="DC104" s="402"/>
      <c r="DD104" s="402"/>
      <c r="DE104" s="403"/>
      <c r="DF104" s="409">
        <f>'Раздел  обоснование 2022сш'!G144+'Раздел  обоснование 2022сш'!G145+'Раздел  обоснование 2022сш'!G147</f>
        <v>337698.98</v>
      </c>
      <c r="DG104" s="409"/>
      <c r="DH104" s="409"/>
      <c r="DI104" s="409"/>
      <c r="DJ104" s="409"/>
      <c r="DK104" s="409"/>
      <c r="DL104" s="409"/>
      <c r="DM104" s="409"/>
      <c r="DN104" s="409"/>
      <c r="DO104" s="409"/>
      <c r="DP104" s="409"/>
      <c r="DQ104" s="409"/>
      <c r="DR104" s="409"/>
      <c r="DS104" s="409">
        <f>'Раздел  обоснование 2023сш '!G107+'Раздел  обоснование 2023сш '!G108+'Раздел  обоснование 2023сш '!G110</f>
        <v>379367.91000000003</v>
      </c>
      <c r="DT104" s="409"/>
      <c r="DU104" s="409"/>
      <c r="DV104" s="409"/>
      <c r="DW104" s="409"/>
      <c r="DX104" s="409"/>
      <c r="DY104" s="409"/>
      <c r="DZ104" s="409"/>
      <c r="EA104" s="409"/>
      <c r="EB104" s="409"/>
      <c r="EC104" s="409"/>
      <c r="ED104" s="409"/>
      <c r="EE104" s="409"/>
      <c r="EF104" s="409">
        <f>'Раздел  обоснование 2024сш'!G108+'Раздел  обоснование 2024сш'!G109+'Раздел  обоснование 2024сш'!G111</f>
        <v>428769.97</v>
      </c>
      <c r="EG104" s="409"/>
      <c r="EH104" s="409"/>
      <c r="EI104" s="409"/>
      <c r="EJ104" s="409"/>
      <c r="EK104" s="409"/>
      <c r="EL104" s="409"/>
      <c r="EM104" s="409"/>
      <c r="EN104" s="409"/>
      <c r="EO104" s="409"/>
      <c r="EP104" s="409"/>
      <c r="EQ104" s="409"/>
      <c r="ER104" s="409"/>
      <c r="ES104" s="437"/>
      <c r="ET104" s="437"/>
      <c r="EU104" s="437"/>
      <c r="EV104" s="437"/>
      <c r="EW104" s="437"/>
      <c r="EX104" s="437"/>
      <c r="EY104" s="437"/>
      <c r="EZ104" s="437"/>
      <c r="FA104" s="437"/>
      <c r="FB104" s="437"/>
      <c r="FC104" s="437"/>
      <c r="FD104" s="437"/>
      <c r="FE104" s="438"/>
      <c r="FF104" s="140">
        <f>337698.98</f>
        <v>337698.98</v>
      </c>
      <c r="FG104" s="272">
        <f>DF104-FF104</f>
        <v>0</v>
      </c>
      <c r="FS104" s="119"/>
      <c r="FT104" s="120"/>
      <c r="FU104" s="121"/>
      <c r="FV104" s="121"/>
      <c r="FW104" s="122"/>
      <c r="FX104" s="119"/>
      <c r="FZ104" s="125"/>
    </row>
    <row r="105" spans="1:182" s="118" customFormat="1" ht="11.25" customHeight="1">
      <c r="A105" s="398"/>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c r="AW105" s="399"/>
      <c r="AX105" s="399"/>
      <c r="AY105" s="399"/>
      <c r="AZ105" s="399"/>
      <c r="BA105" s="399"/>
      <c r="BB105" s="399"/>
      <c r="BC105" s="399"/>
      <c r="BD105" s="399"/>
      <c r="BE105" s="399"/>
      <c r="BF105" s="399"/>
      <c r="BG105" s="399"/>
      <c r="BH105" s="399"/>
      <c r="BI105" s="399"/>
      <c r="BJ105" s="399"/>
      <c r="BK105" s="399"/>
      <c r="BL105" s="399"/>
      <c r="BM105" s="399"/>
      <c r="BN105" s="399"/>
      <c r="BO105" s="399"/>
      <c r="BP105" s="399"/>
      <c r="BQ105" s="399"/>
      <c r="BR105" s="399"/>
      <c r="BS105" s="399"/>
      <c r="BT105" s="399"/>
      <c r="BU105" s="399"/>
      <c r="BV105" s="399"/>
      <c r="BW105" s="400"/>
      <c r="BX105" s="407"/>
      <c r="BY105" s="408"/>
      <c r="BZ105" s="408"/>
      <c r="CA105" s="408"/>
      <c r="CB105" s="408"/>
      <c r="CC105" s="408"/>
      <c r="CD105" s="408"/>
      <c r="CE105" s="408"/>
      <c r="CF105" s="393" t="s">
        <v>540</v>
      </c>
      <c r="CG105" s="393"/>
      <c r="CH105" s="393"/>
      <c r="CI105" s="393"/>
      <c r="CJ105" s="393"/>
      <c r="CK105" s="393"/>
      <c r="CL105" s="393"/>
      <c r="CM105" s="393"/>
      <c r="CN105" s="393"/>
      <c r="CO105" s="393"/>
      <c r="CP105" s="393"/>
      <c r="CQ105" s="393"/>
      <c r="CR105" s="393"/>
      <c r="CS105" s="404"/>
      <c r="CT105" s="405"/>
      <c r="CU105" s="405"/>
      <c r="CV105" s="405"/>
      <c r="CW105" s="405"/>
      <c r="CX105" s="405"/>
      <c r="CY105" s="405"/>
      <c r="CZ105" s="405"/>
      <c r="DA105" s="405"/>
      <c r="DB105" s="405"/>
      <c r="DC105" s="405"/>
      <c r="DD105" s="405"/>
      <c r="DE105" s="406"/>
      <c r="DF105" s="409">
        <f>'Раздел  обоснование 2022сш'!G141+'Раздел  обоснование 2022сш'!G142+'Раздел  обоснование 2022сш'!G143+'Раздел  обоснование 2022сш'!G146+'Раздел  обоснование 2022сш'!G152</f>
        <v>8401773.469999999</v>
      </c>
      <c r="DG105" s="409"/>
      <c r="DH105" s="409"/>
      <c r="DI105" s="409"/>
      <c r="DJ105" s="409"/>
      <c r="DK105" s="409"/>
      <c r="DL105" s="409"/>
      <c r="DM105" s="409"/>
      <c r="DN105" s="409"/>
      <c r="DO105" s="409"/>
      <c r="DP105" s="409"/>
      <c r="DQ105" s="409"/>
      <c r="DR105" s="409"/>
      <c r="DS105" s="409">
        <f>'Раздел  обоснование 2023сш '!G104+'Раздел  обоснование 2023сш '!G105+'Раздел  обоснование 2023сш '!G106+'Раздел  обоснование 2023сш '!G109</f>
        <v>9765102.749999998</v>
      </c>
      <c r="DT105" s="409"/>
      <c r="DU105" s="409"/>
      <c r="DV105" s="409"/>
      <c r="DW105" s="409"/>
      <c r="DX105" s="409"/>
      <c r="DY105" s="409"/>
      <c r="DZ105" s="409"/>
      <c r="EA105" s="409"/>
      <c r="EB105" s="409"/>
      <c r="EC105" s="409"/>
      <c r="ED105" s="409"/>
      <c r="EE105" s="409"/>
      <c r="EF105" s="409">
        <f>'Раздел  обоснование 2024сш'!G105+'Раздел  обоснование 2024сш'!G106+'Раздел  обоснование 2024сш'!G107+'Раздел  обоснование 2024сш'!G110</f>
        <v>11380844.88</v>
      </c>
      <c r="EG105" s="409"/>
      <c r="EH105" s="409"/>
      <c r="EI105" s="409"/>
      <c r="EJ105" s="409"/>
      <c r="EK105" s="409"/>
      <c r="EL105" s="409"/>
      <c r="EM105" s="409"/>
      <c r="EN105" s="409"/>
      <c r="EO105" s="409"/>
      <c r="EP105" s="409"/>
      <c r="EQ105" s="409"/>
      <c r="ER105" s="409"/>
      <c r="ES105" s="437"/>
      <c r="ET105" s="437"/>
      <c r="EU105" s="437"/>
      <c r="EV105" s="437"/>
      <c r="EW105" s="437"/>
      <c r="EX105" s="437"/>
      <c r="EY105" s="437"/>
      <c r="EZ105" s="437"/>
      <c r="FA105" s="437"/>
      <c r="FB105" s="437"/>
      <c r="FC105" s="437"/>
      <c r="FD105" s="437"/>
      <c r="FE105" s="438"/>
      <c r="FF105" s="140">
        <f>8401773.47</f>
        <v>8401773.47</v>
      </c>
      <c r="FG105" s="272">
        <f t="shared" si="0"/>
        <v>0</v>
      </c>
      <c r="FO105" s="125"/>
      <c r="FS105" s="119"/>
      <c r="FT105" s="120"/>
      <c r="FU105" s="121"/>
      <c r="FV105" s="121"/>
      <c r="FW105" s="122"/>
      <c r="FX105" s="119"/>
      <c r="FZ105" s="125"/>
    </row>
    <row r="106" spans="1:179" s="118" customFormat="1" ht="11.25" customHeight="1">
      <c r="A106" s="435" t="s">
        <v>421</v>
      </c>
      <c r="B106" s="436"/>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6"/>
      <c r="AY106" s="436"/>
      <c r="AZ106" s="436"/>
      <c r="BA106" s="436"/>
      <c r="BB106" s="436"/>
      <c r="BC106" s="436"/>
      <c r="BD106" s="436"/>
      <c r="BE106" s="436"/>
      <c r="BF106" s="436"/>
      <c r="BG106" s="436"/>
      <c r="BH106" s="436"/>
      <c r="BI106" s="436"/>
      <c r="BJ106" s="436"/>
      <c r="BK106" s="436"/>
      <c r="BL106" s="436"/>
      <c r="BM106" s="436"/>
      <c r="BN106" s="436"/>
      <c r="BO106" s="436"/>
      <c r="BP106" s="436"/>
      <c r="BQ106" s="436"/>
      <c r="BR106" s="436"/>
      <c r="BS106" s="436"/>
      <c r="BT106" s="436"/>
      <c r="BU106" s="436"/>
      <c r="BV106" s="436"/>
      <c r="BW106" s="436"/>
      <c r="BX106" s="407"/>
      <c r="BY106" s="408"/>
      <c r="BZ106" s="408"/>
      <c r="CA106" s="408"/>
      <c r="CB106" s="408"/>
      <c r="CC106" s="408"/>
      <c r="CD106" s="408"/>
      <c r="CE106" s="408"/>
      <c r="CF106" s="393" t="s">
        <v>166</v>
      </c>
      <c r="CG106" s="393"/>
      <c r="CH106" s="393"/>
      <c r="CI106" s="393"/>
      <c r="CJ106" s="393"/>
      <c r="CK106" s="393"/>
      <c r="CL106" s="393"/>
      <c r="CM106" s="393"/>
      <c r="CN106" s="393"/>
      <c r="CO106" s="393"/>
      <c r="CP106" s="393"/>
      <c r="CQ106" s="393"/>
      <c r="CR106" s="393"/>
      <c r="CS106" s="408" t="s">
        <v>462</v>
      </c>
      <c r="CT106" s="408"/>
      <c r="CU106" s="408"/>
      <c r="CV106" s="408"/>
      <c r="CW106" s="408"/>
      <c r="CX106" s="408"/>
      <c r="CY106" s="408"/>
      <c r="CZ106" s="408"/>
      <c r="DA106" s="408"/>
      <c r="DB106" s="408"/>
      <c r="DC106" s="408"/>
      <c r="DD106" s="408"/>
      <c r="DE106" s="408"/>
      <c r="DF106" s="409">
        <v>0</v>
      </c>
      <c r="DG106" s="409"/>
      <c r="DH106" s="409"/>
      <c r="DI106" s="409"/>
      <c r="DJ106" s="409"/>
      <c r="DK106" s="409"/>
      <c r="DL106" s="409"/>
      <c r="DM106" s="409"/>
      <c r="DN106" s="409"/>
      <c r="DO106" s="409"/>
      <c r="DP106" s="409"/>
      <c r="DQ106" s="409"/>
      <c r="DR106" s="409"/>
      <c r="DS106" s="409">
        <v>0</v>
      </c>
      <c r="DT106" s="409"/>
      <c r="DU106" s="409"/>
      <c r="DV106" s="409"/>
      <c r="DW106" s="409"/>
      <c r="DX106" s="409"/>
      <c r="DY106" s="409"/>
      <c r="DZ106" s="409"/>
      <c r="EA106" s="409"/>
      <c r="EB106" s="409"/>
      <c r="EC106" s="409"/>
      <c r="ED106" s="409"/>
      <c r="EE106" s="409"/>
      <c r="EF106" s="409">
        <v>0</v>
      </c>
      <c r="EG106" s="409"/>
      <c r="EH106" s="409"/>
      <c r="EI106" s="409"/>
      <c r="EJ106" s="409"/>
      <c r="EK106" s="409"/>
      <c r="EL106" s="409"/>
      <c r="EM106" s="409"/>
      <c r="EN106" s="409"/>
      <c r="EO106" s="409"/>
      <c r="EP106" s="409"/>
      <c r="EQ106" s="409"/>
      <c r="ER106" s="409"/>
      <c r="ES106" s="437"/>
      <c r="ET106" s="437"/>
      <c r="EU106" s="437"/>
      <c r="EV106" s="437"/>
      <c r="EW106" s="437"/>
      <c r="EX106" s="437"/>
      <c r="EY106" s="437"/>
      <c r="EZ106" s="437"/>
      <c r="FA106" s="437"/>
      <c r="FB106" s="437"/>
      <c r="FC106" s="437"/>
      <c r="FD106" s="437"/>
      <c r="FE106" s="438"/>
      <c r="FF106" s="140"/>
      <c r="FG106" s="272">
        <f t="shared" si="0"/>
        <v>0</v>
      </c>
      <c r="FT106" s="123"/>
      <c r="FU106" s="124"/>
      <c r="FV106" s="124"/>
      <c r="FW106" s="117"/>
    </row>
    <row r="107" spans="1:182" s="118" customFormat="1" ht="11.25" customHeight="1">
      <c r="A107" s="435" t="s">
        <v>422</v>
      </c>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07"/>
      <c r="BY107" s="408"/>
      <c r="BZ107" s="408"/>
      <c r="CA107" s="408"/>
      <c r="CB107" s="408"/>
      <c r="CC107" s="408"/>
      <c r="CD107" s="408"/>
      <c r="CE107" s="408"/>
      <c r="CF107" s="393" t="s">
        <v>166</v>
      </c>
      <c r="CG107" s="393"/>
      <c r="CH107" s="393"/>
      <c r="CI107" s="393"/>
      <c r="CJ107" s="393"/>
      <c r="CK107" s="393"/>
      <c r="CL107" s="393"/>
      <c r="CM107" s="393"/>
      <c r="CN107" s="393"/>
      <c r="CO107" s="393"/>
      <c r="CP107" s="393"/>
      <c r="CQ107" s="393"/>
      <c r="CR107" s="393"/>
      <c r="CS107" s="408" t="s">
        <v>463</v>
      </c>
      <c r="CT107" s="408"/>
      <c r="CU107" s="408"/>
      <c r="CV107" s="408"/>
      <c r="CW107" s="408"/>
      <c r="CX107" s="408"/>
      <c r="CY107" s="408"/>
      <c r="CZ107" s="408"/>
      <c r="DA107" s="408"/>
      <c r="DB107" s="408"/>
      <c r="DC107" s="408"/>
      <c r="DD107" s="408"/>
      <c r="DE107" s="408"/>
      <c r="DF107" s="409">
        <f>'Раздел  обоснование 2022сш'!E198-'стр.1_4'!DF99</f>
        <v>1865343.3031389136</v>
      </c>
      <c r="DG107" s="409"/>
      <c r="DH107" s="409"/>
      <c r="DI107" s="409"/>
      <c r="DJ107" s="409"/>
      <c r="DK107" s="409"/>
      <c r="DL107" s="409"/>
      <c r="DM107" s="409"/>
      <c r="DN107" s="409"/>
      <c r="DO107" s="409"/>
      <c r="DP107" s="409"/>
      <c r="DQ107" s="409"/>
      <c r="DR107" s="409"/>
      <c r="DS107" s="409">
        <f>'Раздел  обоснование 2023сш '!E148</f>
        <v>4032384.43</v>
      </c>
      <c r="DT107" s="409"/>
      <c r="DU107" s="409"/>
      <c r="DV107" s="409"/>
      <c r="DW107" s="409"/>
      <c r="DX107" s="409"/>
      <c r="DY107" s="409"/>
      <c r="DZ107" s="409"/>
      <c r="EA107" s="409"/>
      <c r="EB107" s="409"/>
      <c r="EC107" s="409"/>
      <c r="ED107" s="409"/>
      <c r="EE107" s="409"/>
      <c r="EF107" s="409">
        <f>'Раздел  обоснование 2024сш'!E149</f>
        <v>3873963.24</v>
      </c>
      <c r="EG107" s="409"/>
      <c r="EH107" s="409"/>
      <c r="EI107" s="409"/>
      <c r="EJ107" s="409"/>
      <c r="EK107" s="409"/>
      <c r="EL107" s="409"/>
      <c r="EM107" s="409"/>
      <c r="EN107" s="409"/>
      <c r="EO107" s="409"/>
      <c r="EP107" s="409"/>
      <c r="EQ107" s="409"/>
      <c r="ER107" s="409"/>
      <c r="ES107" s="437"/>
      <c r="ET107" s="437"/>
      <c r="EU107" s="437"/>
      <c r="EV107" s="437"/>
      <c r="EW107" s="437"/>
      <c r="EX107" s="437"/>
      <c r="EY107" s="437"/>
      <c r="EZ107" s="437"/>
      <c r="FA107" s="437"/>
      <c r="FB107" s="437"/>
      <c r="FC107" s="437"/>
      <c r="FD107" s="437"/>
      <c r="FE107" s="438"/>
      <c r="FF107" s="140">
        <f>1865343.3</f>
        <v>1865343.3</v>
      </c>
      <c r="FG107" s="272">
        <f t="shared" si="0"/>
        <v>0.0031389135401695967</v>
      </c>
      <c r="FS107" s="119"/>
      <c r="FT107" s="120"/>
      <c r="FU107" s="121"/>
      <c r="FV107" s="121"/>
      <c r="FW107" s="122"/>
      <c r="FX107" s="126"/>
      <c r="FY107" s="119"/>
      <c r="FZ107" s="125"/>
    </row>
    <row r="108" spans="1:180" s="118" customFormat="1" ht="11.25" customHeight="1">
      <c r="A108" s="435" t="s">
        <v>423</v>
      </c>
      <c r="B108" s="436"/>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c r="BH108" s="436"/>
      <c r="BI108" s="436"/>
      <c r="BJ108" s="436"/>
      <c r="BK108" s="436"/>
      <c r="BL108" s="436"/>
      <c r="BM108" s="436"/>
      <c r="BN108" s="436"/>
      <c r="BO108" s="436"/>
      <c r="BP108" s="436"/>
      <c r="BQ108" s="436"/>
      <c r="BR108" s="436"/>
      <c r="BS108" s="436"/>
      <c r="BT108" s="436"/>
      <c r="BU108" s="436"/>
      <c r="BV108" s="436"/>
      <c r="BW108" s="436"/>
      <c r="BX108" s="407"/>
      <c r="BY108" s="408"/>
      <c r="BZ108" s="408"/>
      <c r="CA108" s="408"/>
      <c r="CB108" s="408"/>
      <c r="CC108" s="408"/>
      <c r="CD108" s="408"/>
      <c r="CE108" s="408"/>
      <c r="CF108" s="393" t="s">
        <v>166</v>
      </c>
      <c r="CG108" s="393"/>
      <c r="CH108" s="393"/>
      <c r="CI108" s="393"/>
      <c r="CJ108" s="393"/>
      <c r="CK108" s="393"/>
      <c r="CL108" s="393"/>
      <c r="CM108" s="393"/>
      <c r="CN108" s="393"/>
      <c r="CO108" s="393"/>
      <c r="CP108" s="393"/>
      <c r="CQ108" s="393"/>
      <c r="CR108" s="393"/>
      <c r="CS108" s="408" t="s">
        <v>457</v>
      </c>
      <c r="CT108" s="408"/>
      <c r="CU108" s="408"/>
      <c r="CV108" s="408"/>
      <c r="CW108" s="408"/>
      <c r="CX108" s="408"/>
      <c r="CY108" s="408"/>
      <c r="CZ108" s="408"/>
      <c r="DA108" s="408"/>
      <c r="DB108" s="408"/>
      <c r="DC108" s="408"/>
      <c r="DD108" s="408"/>
      <c r="DE108" s="408"/>
      <c r="DF108" s="409">
        <f>'Раздел  обоснование 2022сш'!D229</f>
        <v>3631574.31</v>
      </c>
      <c r="DG108" s="409"/>
      <c r="DH108" s="409"/>
      <c r="DI108" s="409"/>
      <c r="DJ108" s="409"/>
      <c r="DK108" s="409"/>
      <c r="DL108" s="409"/>
      <c r="DM108" s="409"/>
      <c r="DN108" s="409"/>
      <c r="DO108" s="409"/>
      <c r="DP108" s="409"/>
      <c r="DQ108" s="409"/>
      <c r="DR108" s="409"/>
      <c r="DS108" s="409">
        <f>'Раздел  обоснование 2023сш '!D162</f>
        <v>3263250</v>
      </c>
      <c r="DT108" s="409"/>
      <c r="DU108" s="409"/>
      <c r="DV108" s="409"/>
      <c r="DW108" s="409"/>
      <c r="DX108" s="409"/>
      <c r="DY108" s="409"/>
      <c r="DZ108" s="409"/>
      <c r="EA108" s="409"/>
      <c r="EB108" s="409"/>
      <c r="EC108" s="409"/>
      <c r="ED108" s="409"/>
      <c r="EE108" s="409"/>
      <c r="EF108" s="409">
        <f>'Раздел  обоснование 2024сш'!D171</f>
        <v>3263250</v>
      </c>
      <c r="EG108" s="409"/>
      <c r="EH108" s="409"/>
      <c r="EI108" s="409"/>
      <c r="EJ108" s="409"/>
      <c r="EK108" s="409"/>
      <c r="EL108" s="409"/>
      <c r="EM108" s="409"/>
      <c r="EN108" s="409"/>
      <c r="EO108" s="409"/>
      <c r="EP108" s="409"/>
      <c r="EQ108" s="409"/>
      <c r="ER108" s="409"/>
      <c r="ES108" s="437"/>
      <c r="ET108" s="437"/>
      <c r="EU108" s="437"/>
      <c r="EV108" s="437"/>
      <c r="EW108" s="437"/>
      <c r="EX108" s="437"/>
      <c r="EY108" s="437"/>
      <c r="EZ108" s="437"/>
      <c r="FA108" s="437"/>
      <c r="FB108" s="437"/>
      <c r="FC108" s="437"/>
      <c r="FD108" s="437"/>
      <c r="FE108" s="438"/>
      <c r="FF108" s="140">
        <f>3631574.31</f>
        <v>3631574.31</v>
      </c>
      <c r="FG108" s="272">
        <f t="shared" si="0"/>
        <v>0</v>
      </c>
      <c r="FS108" s="119"/>
      <c r="FT108" s="120"/>
      <c r="FU108" s="121"/>
      <c r="FV108" s="121"/>
      <c r="FW108" s="122"/>
      <c r="FX108" s="119"/>
    </row>
    <row r="109" spans="1:180" s="118" customFormat="1" ht="11.25" customHeight="1">
      <c r="A109" s="435" t="s">
        <v>627</v>
      </c>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6"/>
      <c r="BE109" s="436"/>
      <c r="BF109" s="436"/>
      <c r="BG109" s="436"/>
      <c r="BH109" s="436"/>
      <c r="BI109" s="436"/>
      <c r="BJ109" s="436"/>
      <c r="BK109" s="436"/>
      <c r="BL109" s="436"/>
      <c r="BM109" s="436"/>
      <c r="BN109" s="436"/>
      <c r="BO109" s="436"/>
      <c r="BP109" s="436"/>
      <c r="BQ109" s="436"/>
      <c r="BR109" s="436"/>
      <c r="BS109" s="436"/>
      <c r="BT109" s="436"/>
      <c r="BU109" s="436"/>
      <c r="BV109" s="436"/>
      <c r="BW109" s="436"/>
      <c r="BX109" s="407"/>
      <c r="BY109" s="408"/>
      <c r="BZ109" s="408"/>
      <c r="CA109" s="408"/>
      <c r="CB109" s="408"/>
      <c r="CC109" s="408"/>
      <c r="CD109" s="408"/>
      <c r="CE109" s="408"/>
      <c r="CF109" s="393" t="s">
        <v>166</v>
      </c>
      <c r="CG109" s="393"/>
      <c r="CH109" s="393"/>
      <c r="CI109" s="393"/>
      <c r="CJ109" s="393"/>
      <c r="CK109" s="393"/>
      <c r="CL109" s="393"/>
      <c r="CM109" s="393"/>
      <c r="CN109" s="393"/>
      <c r="CO109" s="393"/>
      <c r="CP109" s="393"/>
      <c r="CQ109" s="393"/>
      <c r="CR109" s="393"/>
      <c r="CS109" s="408" t="s">
        <v>628</v>
      </c>
      <c r="CT109" s="408"/>
      <c r="CU109" s="408"/>
      <c r="CV109" s="408"/>
      <c r="CW109" s="408"/>
      <c r="CX109" s="408"/>
      <c r="CY109" s="408"/>
      <c r="CZ109" s="408"/>
      <c r="DA109" s="408"/>
      <c r="DB109" s="408"/>
      <c r="DC109" s="408"/>
      <c r="DD109" s="408"/>
      <c r="DE109" s="408"/>
      <c r="DF109" s="409">
        <f>'Раздел  обоснование 2022сш'!D215</f>
        <v>3391</v>
      </c>
      <c r="DG109" s="409"/>
      <c r="DH109" s="409"/>
      <c r="DI109" s="409"/>
      <c r="DJ109" s="409"/>
      <c r="DK109" s="409"/>
      <c r="DL109" s="409"/>
      <c r="DM109" s="409"/>
      <c r="DN109" s="409"/>
      <c r="DO109" s="409"/>
      <c r="DP109" s="409"/>
      <c r="DQ109" s="409"/>
      <c r="DR109" s="409"/>
      <c r="DS109" s="409">
        <f>'Раздел  обоснование 2023сш '!D163</f>
        <v>0</v>
      </c>
      <c r="DT109" s="409"/>
      <c r="DU109" s="409"/>
      <c r="DV109" s="409"/>
      <c r="DW109" s="409"/>
      <c r="DX109" s="409"/>
      <c r="DY109" s="409"/>
      <c r="DZ109" s="409"/>
      <c r="EA109" s="409"/>
      <c r="EB109" s="409"/>
      <c r="EC109" s="409"/>
      <c r="ED109" s="409"/>
      <c r="EE109" s="409"/>
      <c r="EF109" s="409">
        <f>'Раздел  обоснование 2024сш'!D172</f>
        <v>0</v>
      </c>
      <c r="EG109" s="409"/>
      <c r="EH109" s="409"/>
      <c r="EI109" s="409"/>
      <c r="EJ109" s="409"/>
      <c r="EK109" s="409"/>
      <c r="EL109" s="409"/>
      <c r="EM109" s="409"/>
      <c r="EN109" s="409"/>
      <c r="EO109" s="409"/>
      <c r="EP109" s="409"/>
      <c r="EQ109" s="409"/>
      <c r="ER109" s="409"/>
      <c r="ES109" s="437"/>
      <c r="ET109" s="437"/>
      <c r="EU109" s="437"/>
      <c r="EV109" s="437"/>
      <c r="EW109" s="437"/>
      <c r="EX109" s="437"/>
      <c r="EY109" s="437"/>
      <c r="EZ109" s="437"/>
      <c r="FA109" s="437"/>
      <c r="FB109" s="437"/>
      <c r="FC109" s="437"/>
      <c r="FD109" s="437"/>
      <c r="FE109" s="438"/>
      <c r="FF109" s="140">
        <f>3391</f>
        <v>3391</v>
      </c>
      <c r="FG109" s="272">
        <f t="shared" si="0"/>
        <v>0</v>
      </c>
      <c r="FS109" s="119"/>
      <c r="FT109" s="120"/>
      <c r="FU109" s="121"/>
      <c r="FV109" s="121"/>
      <c r="FW109" s="122"/>
      <c r="FX109" s="119"/>
    </row>
    <row r="110" spans="1:180" s="118" customFormat="1" ht="11.25" customHeight="1">
      <c r="A110" s="435" t="s">
        <v>639</v>
      </c>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6"/>
      <c r="AY110" s="436"/>
      <c r="AZ110" s="436"/>
      <c r="BA110" s="436"/>
      <c r="BB110" s="436"/>
      <c r="BC110" s="436"/>
      <c r="BD110" s="436"/>
      <c r="BE110" s="436"/>
      <c r="BF110" s="436"/>
      <c r="BG110" s="436"/>
      <c r="BH110" s="436"/>
      <c r="BI110" s="436"/>
      <c r="BJ110" s="436"/>
      <c r="BK110" s="436"/>
      <c r="BL110" s="436"/>
      <c r="BM110" s="436"/>
      <c r="BN110" s="436"/>
      <c r="BO110" s="436"/>
      <c r="BP110" s="436"/>
      <c r="BQ110" s="436"/>
      <c r="BR110" s="436"/>
      <c r="BS110" s="436"/>
      <c r="BT110" s="436"/>
      <c r="BU110" s="436"/>
      <c r="BV110" s="436"/>
      <c r="BW110" s="436"/>
      <c r="BX110" s="407"/>
      <c r="BY110" s="408"/>
      <c r="BZ110" s="408"/>
      <c r="CA110" s="408"/>
      <c r="CB110" s="408"/>
      <c r="CC110" s="408"/>
      <c r="CD110" s="408"/>
      <c r="CE110" s="408"/>
      <c r="CF110" s="393" t="s">
        <v>166</v>
      </c>
      <c r="CG110" s="393"/>
      <c r="CH110" s="393"/>
      <c r="CI110" s="393"/>
      <c r="CJ110" s="393"/>
      <c r="CK110" s="393"/>
      <c r="CL110" s="393"/>
      <c r="CM110" s="393"/>
      <c r="CN110" s="393"/>
      <c r="CO110" s="393"/>
      <c r="CP110" s="393"/>
      <c r="CQ110" s="393"/>
      <c r="CR110" s="393"/>
      <c r="CS110" s="408" t="s">
        <v>638</v>
      </c>
      <c r="CT110" s="408"/>
      <c r="CU110" s="408"/>
      <c r="CV110" s="408"/>
      <c r="CW110" s="408"/>
      <c r="CX110" s="408"/>
      <c r="CY110" s="408"/>
      <c r="CZ110" s="408"/>
      <c r="DA110" s="408"/>
      <c r="DB110" s="408"/>
      <c r="DC110" s="408"/>
      <c r="DD110" s="408"/>
      <c r="DE110" s="408"/>
      <c r="DF110" s="409">
        <f>'Раздел  обоснование 2022сш'!E247</f>
        <v>1528669.33</v>
      </c>
      <c r="DG110" s="409"/>
      <c r="DH110" s="409"/>
      <c r="DI110" s="409"/>
      <c r="DJ110" s="409"/>
      <c r="DK110" s="409"/>
      <c r="DL110" s="409"/>
      <c r="DM110" s="409"/>
      <c r="DN110" s="409"/>
      <c r="DO110" s="409"/>
      <c r="DP110" s="409"/>
      <c r="DQ110" s="409"/>
      <c r="DR110" s="409"/>
      <c r="DS110" s="409">
        <f>'Раздел  обоснование 2023сш '!D164</f>
        <v>0</v>
      </c>
      <c r="DT110" s="409"/>
      <c r="DU110" s="409"/>
      <c r="DV110" s="409"/>
      <c r="DW110" s="409"/>
      <c r="DX110" s="409"/>
      <c r="DY110" s="409"/>
      <c r="DZ110" s="409"/>
      <c r="EA110" s="409"/>
      <c r="EB110" s="409"/>
      <c r="EC110" s="409"/>
      <c r="ED110" s="409"/>
      <c r="EE110" s="409"/>
      <c r="EF110" s="409">
        <f>'Раздел  обоснование 2024сш'!D173</f>
        <v>0</v>
      </c>
      <c r="EG110" s="409"/>
      <c r="EH110" s="409"/>
      <c r="EI110" s="409"/>
      <c r="EJ110" s="409"/>
      <c r="EK110" s="409"/>
      <c r="EL110" s="409"/>
      <c r="EM110" s="409"/>
      <c r="EN110" s="409"/>
      <c r="EO110" s="409"/>
      <c r="EP110" s="409"/>
      <c r="EQ110" s="409"/>
      <c r="ER110" s="409"/>
      <c r="ES110" s="437"/>
      <c r="ET110" s="437"/>
      <c r="EU110" s="437"/>
      <c r="EV110" s="437"/>
      <c r="EW110" s="437"/>
      <c r="EX110" s="437"/>
      <c r="EY110" s="437"/>
      <c r="EZ110" s="437"/>
      <c r="FA110" s="437"/>
      <c r="FB110" s="437"/>
      <c r="FC110" s="437"/>
      <c r="FD110" s="437"/>
      <c r="FE110" s="438"/>
      <c r="FF110" s="140">
        <f>1528669.33</f>
        <v>1528669.33</v>
      </c>
      <c r="FG110" s="272">
        <f t="shared" si="0"/>
        <v>0</v>
      </c>
      <c r="FS110" s="119"/>
      <c r="FT110" s="120"/>
      <c r="FU110" s="121"/>
      <c r="FV110" s="121"/>
      <c r="FW110" s="122"/>
      <c r="FX110" s="119"/>
    </row>
    <row r="111" spans="1:181" s="118" customFormat="1" ht="11.25" customHeight="1">
      <c r="A111" s="435" t="s">
        <v>424</v>
      </c>
      <c r="B111" s="436"/>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6"/>
      <c r="BR111" s="436"/>
      <c r="BS111" s="436"/>
      <c r="BT111" s="436"/>
      <c r="BU111" s="436"/>
      <c r="BV111" s="436"/>
      <c r="BW111" s="436"/>
      <c r="BX111" s="407"/>
      <c r="BY111" s="408"/>
      <c r="BZ111" s="408"/>
      <c r="CA111" s="408"/>
      <c r="CB111" s="408"/>
      <c r="CC111" s="408"/>
      <c r="CD111" s="408"/>
      <c r="CE111" s="408"/>
      <c r="CF111" s="393" t="s">
        <v>166</v>
      </c>
      <c r="CG111" s="393"/>
      <c r="CH111" s="393"/>
      <c r="CI111" s="393"/>
      <c r="CJ111" s="393"/>
      <c r="CK111" s="393"/>
      <c r="CL111" s="393"/>
      <c r="CM111" s="393"/>
      <c r="CN111" s="393"/>
      <c r="CO111" s="393"/>
      <c r="CP111" s="393"/>
      <c r="CQ111" s="393"/>
      <c r="CR111" s="393"/>
      <c r="CS111" s="408" t="s">
        <v>464</v>
      </c>
      <c r="CT111" s="408"/>
      <c r="CU111" s="408"/>
      <c r="CV111" s="408"/>
      <c r="CW111" s="408"/>
      <c r="CX111" s="408"/>
      <c r="CY111" s="408"/>
      <c r="CZ111" s="408"/>
      <c r="DA111" s="408"/>
      <c r="DB111" s="408"/>
      <c r="DC111" s="408"/>
      <c r="DD111" s="408"/>
      <c r="DE111" s="408"/>
      <c r="DF111" s="409">
        <f>'Раздел  обоснование 2022сш'!E252-DF110</f>
        <v>3469853.0700000003</v>
      </c>
      <c r="DG111" s="409"/>
      <c r="DH111" s="409"/>
      <c r="DI111" s="409"/>
      <c r="DJ111" s="409"/>
      <c r="DK111" s="409"/>
      <c r="DL111" s="409"/>
      <c r="DM111" s="409"/>
      <c r="DN111" s="409"/>
      <c r="DO111" s="409"/>
      <c r="DP111" s="409"/>
      <c r="DQ111" s="409"/>
      <c r="DR111" s="409"/>
      <c r="DS111" s="409">
        <f>'Раздел  обоснование 2023сш '!E185</f>
        <v>4629959.319999999</v>
      </c>
      <c r="DT111" s="409"/>
      <c r="DU111" s="409"/>
      <c r="DV111" s="409"/>
      <c r="DW111" s="409"/>
      <c r="DX111" s="409"/>
      <c r="DY111" s="409"/>
      <c r="DZ111" s="409"/>
      <c r="EA111" s="409"/>
      <c r="EB111" s="409"/>
      <c r="EC111" s="409"/>
      <c r="ED111" s="409"/>
      <c r="EE111" s="409"/>
      <c r="EF111" s="409">
        <f>'Раздел  обоснование 2024сш'!E194</f>
        <v>4629959.319999999</v>
      </c>
      <c r="EG111" s="409"/>
      <c r="EH111" s="409"/>
      <c r="EI111" s="409"/>
      <c r="EJ111" s="409"/>
      <c r="EK111" s="409"/>
      <c r="EL111" s="409"/>
      <c r="EM111" s="409"/>
      <c r="EN111" s="409"/>
      <c r="EO111" s="409"/>
      <c r="EP111" s="409"/>
      <c r="EQ111" s="409"/>
      <c r="ER111" s="409"/>
      <c r="ES111" s="437"/>
      <c r="ET111" s="437"/>
      <c r="EU111" s="437"/>
      <c r="EV111" s="437"/>
      <c r="EW111" s="437"/>
      <c r="EX111" s="437"/>
      <c r="EY111" s="437"/>
      <c r="EZ111" s="437"/>
      <c r="FA111" s="437"/>
      <c r="FB111" s="437"/>
      <c r="FC111" s="437"/>
      <c r="FD111" s="437"/>
      <c r="FE111" s="438"/>
      <c r="FF111" s="140">
        <f>3469853.07</f>
        <v>3469853.07</v>
      </c>
      <c r="FG111" s="272">
        <f t="shared" si="0"/>
        <v>0</v>
      </c>
      <c r="FS111" s="119"/>
      <c r="FT111" s="120"/>
      <c r="FU111" s="121"/>
      <c r="FV111" s="121"/>
      <c r="FW111" s="122"/>
      <c r="FX111" s="119"/>
      <c r="FY111" s="119"/>
    </row>
    <row r="112" spans="1:179" s="118" customFormat="1" ht="11.25" customHeight="1">
      <c r="A112" s="435" t="s">
        <v>470</v>
      </c>
      <c r="B112" s="436"/>
      <c r="C112" s="436"/>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6"/>
      <c r="BR112" s="436"/>
      <c r="BS112" s="436"/>
      <c r="BT112" s="436"/>
      <c r="BU112" s="436"/>
      <c r="BV112" s="436"/>
      <c r="BW112" s="436"/>
      <c r="BX112" s="407"/>
      <c r="BY112" s="408"/>
      <c r="BZ112" s="408"/>
      <c r="CA112" s="408"/>
      <c r="CB112" s="408"/>
      <c r="CC112" s="408"/>
      <c r="CD112" s="408"/>
      <c r="CE112" s="408"/>
      <c r="CF112" s="393" t="s">
        <v>166</v>
      </c>
      <c r="CG112" s="393"/>
      <c r="CH112" s="393"/>
      <c r="CI112" s="393"/>
      <c r="CJ112" s="393"/>
      <c r="CK112" s="393"/>
      <c r="CL112" s="393"/>
      <c r="CM112" s="393"/>
      <c r="CN112" s="393"/>
      <c r="CO112" s="393"/>
      <c r="CP112" s="393"/>
      <c r="CQ112" s="393"/>
      <c r="CR112" s="393"/>
      <c r="CS112" s="408"/>
      <c r="CT112" s="408"/>
      <c r="CU112" s="408"/>
      <c r="CV112" s="408"/>
      <c r="CW112" s="408"/>
      <c r="CX112" s="408"/>
      <c r="CY112" s="408"/>
      <c r="CZ112" s="408"/>
      <c r="DA112" s="408"/>
      <c r="DB112" s="408"/>
      <c r="DC112" s="408"/>
      <c r="DD112" s="408"/>
      <c r="DE112" s="408"/>
      <c r="DF112" s="409">
        <f>DF113+DF114+DF115+DF116+DF117+DF118+DF119</f>
        <v>13431812.860000001</v>
      </c>
      <c r="DG112" s="409"/>
      <c r="DH112" s="409"/>
      <c r="DI112" s="409"/>
      <c r="DJ112" s="409"/>
      <c r="DK112" s="409"/>
      <c r="DL112" s="409"/>
      <c r="DM112" s="409"/>
      <c r="DN112" s="409"/>
      <c r="DO112" s="409"/>
      <c r="DP112" s="409"/>
      <c r="DQ112" s="409"/>
      <c r="DR112" s="409"/>
      <c r="DS112" s="409">
        <f>DS113+DS114+DS115+DS116+DS117+DS118+DS119</f>
        <v>12719178.966800243</v>
      </c>
      <c r="DT112" s="409"/>
      <c r="DU112" s="409"/>
      <c r="DV112" s="409"/>
      <c r="DW112" s="409"/>
      <c r="DX112" s="409"/>
      <c r="DY112" s="409"/>
      <c r="DZ112" s="409"/>
      <c r="EA112" s="409"/>
      <c r="EB112" s="409"/>
      <c r="EC112" s="409"/>
      <c r="ED112" s="409"/>
      <c r="EE112" s="409"/>
      <c r="EF112" s="409">
        <f>EF113+EF114+EF115+EF116+EF117+EF118+EF119</f>
        <v>12719178.966800243</v>
      </c>
      <c r="EG112" s="409"/>
      <c r="EH112" s="409"/>
      <c r="EI112" s="409"/>
      <c r="EJ112" s="409"/>
      <c r="EK112" s="409"/>
      <c r="EL112" s="409"/>
      <c r="EM112" s="409"/>
      <c r="EN112" s="409"/>
      <c r="EO112" s="409"/>
      <c r="EP112" s="409"/>
      <c r="EQ112" s="409"/>
      <c r="ER112" s="409"/>
      <c r="ES112" s="437"/>
      <c r="ET112" s="437"/>
      <c r="EU112" s="437"/>
      <c r="EV112" s="437"/>
      <c r="EW112" s="437"/>
      <c r="EX112" s="437"/>
      <c r="EY112" s="437"/>
      <c r="EZ112" s="437"/>
      <c r="FA112" s="437"/>
      <c r="FB112" s="437"/>
      <c r="FC112" s="437"/>
      <c r="FD112" s="437"/>
      <c r="FE112" s="438"/>
      <c r="FF112" s="140"/>
      <c r="FG112" s="272"/>
      <c r="FT112" s="123"/>
      <c r="FU112" s="124"/>
      <c r="FV112" s="124"/>
      <c r="FW112" s="117"/>
    </row>
    <row r="113" spans="1:179" s="118" customFormat="1" ht="22.5" customHeight="1">
      <c r="A113" s="435" t="s">
        <v>478</v>
      </c>
      <c r="B113" s="436"/>
      <c r="C113" s="436"/>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6"/>
      <c r="AZ113" s="436"/>
      <c r="BA113" s="436"/>
      <c r="BB113" s="436"/>
      <c r="BC113" s="436"/>
      <c r="BD113" s="436"/>
      <c r="BE113" s="436"/>
      <c r="BF113" s="436"/>
      <c r="BG113" s="436"/>
      <c r="BH113" s="436"/>
      <c r="BI113" s="436"/>
      <c r="BJ113" s="436"/>
      <c r="BK113" s="436"/>
      <c r="BL113" s="436"/>
      <c r="BM113" s="436"/>
      <c r="BN113" s="436"/>
      <c r="BO113" s="436"/>
      <c r="BP113" s="436"/>
      <c r="BQ113" s="436"/>
      <c r="BR113" s="436"/>
      <c r="BS113" s="436"/>
      <c r="BT113" s="436"/>
      <c r="BU113" s="436"/>
      <c r="BV113" s="436"/>
      <c r="BW113" s="436"/>
      <c r="BX113" s="407"/>
      <c r="BY113" s="408"/>
      <c r="BZ113" s="408"/>
      <c r="CA113" s="408"/>
      <c r="CB113" s="408"/>
      <c r="CC113" s="408"/>
      <c r="CD113" s="408"/>
      <c r="CE113" s="408"/>
      <c r="CF113" s="393" t="s">
        <v>166</v>
      </c>
      <c r="CG113" s="393"/>
      <c r="CH113" s="393"/>
      <c r="CI113" s="393"/>
      <c r="CJ113" s="393"/>
      <c r="CK113" s="393"/>
      <c r="CL113" s="393"/>
      <c r="CM113" s="393"/>
      <c r="CN113" s="393"/>
      <c r="CO113" s="393"/>
      <c r="CP113" s="393"/>
      <c r="CQ113" s="393"/>
      <c r="CR113" s="393"/>
      <c r="CS113" s="408" t="s">
        <v>471</v>
      </c>
      <c r="CT113" s="408"/>
      <c r="CU113" s="408"/>
      <c r="CV113" s="408"/>
      <c r="CW113" s="408"/>
      <c r="CX113" s="408"/>
      <c r="CY113" s="408"/>
      <c r="CZ113" s="408"/>
      <c r="DA113" s="408"/>
      <c r="DB113" s="408"/>
      <c r="DC113" s="408"/>
      <c r="DD113" s="408"/>
      <c r="DE113" s="408"/>
      <c r="DF113" s="409">
        <f>'Раздел  обоснование 2022сш'!E255</f>
        <v>121275</v>
      </c>
      <c r="DG113" s="409"/>
      <c r="DH113" s="409"/>
      <c r="DI113" s="409"/>
      <c r="DJ113" s="409"/>
      <c r="DK113" s="409"/>
      <c r="DL113" s="409"/>
      <c r="DM113" s="409"/>
      <c r="DN113" s="409"/>
      <c r="DO113" s="409"/>
      <c r="DP113" s="409"/>
      <c r="DQ113" s="409"/>
      <c r="DR113" s="409"/>
      <c r="DS113" s="409">
        <f>'Раздел  обоснование 2023сш '!E195</f>
        <v>10000</v>
      </c>
      <c r="DT113" s="409"/>
      <c r="DU113" s="409"/>
      <c r="DV113" s="409"/>
      <c r="DW113" s="409"/>
      <c r="DX113" s="409"/>
      <c r="DY113" s="409"/>
      <c r="DZ113" s="409"/>
      <c r="EA113" s="409"/>
      <c r="EB113" s="409"/>
      <c r="EC113" s="409"/>
      <c r="ED113" s="409"/>
      <c r="EE113" s="409"/>
      <c r="EF113" s="409">
        <f>'Раздел  обоснование 2024сш'!E197</f>
        <v>10000</v>
      </c>
      <c r="EG113" s="409"/>
      <c r="EH113" s="409"/>
      <c r="EI113" s="409"/>
      <c r="EJ113" s="409"/>
      <c r="EK113" s="409"/>
      <c r="EL113" s="409"/>
      <c r="EM113" s="409"/>
      <c r="EN113" s="409"/>
      <c r="EO113" s="409"/>
      <c r="EP113" s="409"/>
      <c r="EQ113" s="409"/>
      <c r="ER113" s="409"/>
      <c r="ES113" s="437"/>
      <c r="ET113" s="437"/>
      <c r="EU113" s="437"/>
      <c r="EV113" s="437"/>
      <c r="EW113" s="437"/>
      <c r="EX113" s="437"/>
      <c r="EY113" s="437"/>
      <c r="EZ113" s="437"/>
      <c r="FA113" s="437"/>
      <c r="FB113" s="437"/>
      <c r="FC113" s="437"/>
      <c r="FD113" s="437"/>
      <c r="FE113" s="438"/>
      <c r="FF113" s="140">
        <f>121275</f>
        <v>121275</v>
      </c>
      <c r="FG113" s="272">
        <f t="shared" si="0"/>
        <v>0</v>
      </c>
      <c r="FT113" s="123"/>
      <c r="FU113" s="124"/>
      <c r="FV113" s="124"/>
      <c r="FW113" s="117"/>
    </row>
    <row r="114" spans="1:179" s="118" customFormat="1" ht="11.25" customHeight="1">
      <c r="A114" s="435" t="s">
        <v>479</v>
      </c>
      <c r="B114" s="436"/>
      <c r="C114" s="436"/>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M114" s="436"/>
      <c r="BN114" s="436"/>
      <c r="BO114" s="436"/>
      <c r="BP114" s="436"/>
      <c r="BQ114" s="436"/>
      <c r="BR114" s="436"/>
      <c r="BS114" s="436"/>
      <c r="BT114" s="436"/>
      <c r="BU114" s="436"/>
      <c r="BV114" s="436"/>
      <c r="BW114" s="436"/>
      <c r="BX114" s="407"/>
      <c r="BY114" s="408"/>
      <c r="BZ114" s="408"/>
      <c r="CA114" s="408"/>
      <c r="CB114" s="408"/>
      <c r="CC114" s="408"/>
      <c r="CD114" s="408"/>
      <c r="CE114" s="408"/>
      <c r="CF114" s="393" t="s">
        <v>166</v>
      </c>
      <c r="CG114" s="393"/>
      <c r="CH114" s="393"/>
      <c r="CI114" s="393"/>
      <c r="CJ114" s="393"/>
      <c r="CK114" s="393"/>
      <c r="CL114" s="393"/>
      <c r="CM114" s="393"/>
      <c r="CN114" s="393"/>
      <c r="CO114" s="393"/>
      <c r="CP114" s="393"/>
      <c r="CQ114" s="393"/>
      <c r="CR114" s="393"/>
      <c r="CS114" s="408" t="s">
        <v>472</v>
      </c>
      <c r="CT114" s="408"/>
      <c r="CU114" s="408"/>
      <c r="CV114" s="408"/>
      <c r="CW114" s="408"/>
      <c r="CX114" s="408"/>
      <c r="CY114" s="408"/>
      <c r="CZ114" s="408"/>
      <c r="DA114" s="408"/>
      <c r="DB114" s="408"/>
      <c r="DC114" s="408"/>
      <c r="DD114" s="408"/>
      <c r="DE114" s="408"/>
      <c r="DF114" s="409">
        <f>'Раздел  обоснование 2022сш'!E275+'Раздел  обоснование 2022сш'!E267+'Раздел  обоснование 2022сш'!E258</f>
        <v>11899462.8</v>
      </c>
      <c r="DG114" s="409"/>
      <c r="DH114" s="409"/>
      <c r="DI114" s="409"/>
      <c r="DJ114" s="409"/>
      <c r="DK114" s="409"/>
      <c r="DL114" s="409"/>
      <c r="DM114" s="409"/>
      <c r="DN114" s="409"/>
      <c r="DO114" s="409"/>
      <c r="DP114" s="409"/>
      <c r="DQ114" s="409"/>
      <c r="DR114" s="409"/>
      <c r="DS114" s="409">
        <f>'Раздел  обоснование 2023сш '!E198+'Раздел  обоснование 2023сш '!E206+'Раздел  обоснование 2023сш '!E212</f>
        <v>11803030.756800242</v>
      </c>
      <c r="DT114" s="409"/>
      <c r="DU114" s="409"/>
      <c r="DV114" s="409"/>
      <c r="DW114" s="409"/>
      <c r="DX114" s="409"/>
      <c r="DY114" s="409"/>
      <c r="DZ114" s="409"/>
      <c r="EA114" s="409"/>
      <c r="EB114" s="409"/>
      <c r="EC114" s="409"/>
      <c r="ED114" s="409"/>
      <c r="EE114" s="409"/>
      <c r="EF114" s="409">
        <f>'Раздел  обоснование 2024сш'!E200+'Раздел  обоснование 2024сш'!E208+'Раздел  обоснование 2024сш'!E214</f>
        <v>11803030.756800242</v>
      </c>
      <c r="EG114" s="409"/>
      <c r="EH114" s="409"/>
      <c r="EI114" s="409"/>
      <c r="EJ114" s="409"/>
      <c r="EK114" s="409"/>
      <c r="EL114" s="409"/>
      <c r="EM114" s="409"/>
      <c r="EN114" s="409"/>
      <c r="EO114" s="409"/>
      <c r="EP114" s="409"/>
      <c r="EQ114" s="409"/>
      <c r="ER114" s="409"/>
      <c r="ES114" s="437"/>
      <c r="ET114" s="437"/>
      <c r="EU114" s="437"/>
      <c r="EV114" s="437"/>
      <c r="EW114" s="437"/>
      <c r="EX114" s="437"/>
      <c r="EY114" s="437"/>
      <c r="EZ114" s="437"/>
      <c r="FA114" s="437"/>
      <c r="FB114" s="437"/>
      <c r="FC114" s="437"/>
      <c r="FD114" s="437"/>
      <c r="FE114" s="438"/>
      <c r="FF114" s="140">
        <f>11937579.42</f>
        <v>11937579.42</v>
      </c>
      <c r="FG114" s="272">
        <f t="shared" si="0"/>
        <v>-38116.61999999918</v>
      </c>
      <c r="FT114" s="123"/>
      <c r="FU114" s="124"/>
      <c r="FV114" s="124"/>
      <c r="FW114" s="117"/>
    </row>
    <row r="115" spans="1:179" s="118" customFormat="1" ht="11.25" customHeight="1">
      <c r="A115" s="435" t="s">
        <v>480</v>
      </c>
      <c r="B115" s="436"/>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6"/>
      <c r="BB115" s="436"/>
      <c r="BC115" s="436"/>
      <c r="BD115" s="436"/>
      <c r="BE115" s="436"/>
      <c r="BF115" s="436"/>
      <c r="BG115" s="436"/>
      <c r="BH115" s="436"/>
      <c r="BI115" s="436"/>
      <c r="BJ115" s="436"/>
      <c r="BK115" s="436"/>
      <c r="BL115" s="436"/>
      <c r="BM115" s="436"/>
      <c r="BN115" s="436"/>
      <c r="BO115" s="436"/>
      <c r="BP115" s="436"/>
      <c r="BQ115" s="436"/>
      <c r="BR115" s="436"/>
      <c r="BS115" s="436"/>
      <c r="BT115" s="436"/>
      <c r="BU115" s="436"/>
      <c r="BV115" s="436"/>
      <c r="BW115" s="436"/>
      <c r="BX115" s="407"/>
      <c r="BY115" s="408"/>
      <c r="BZ115" s="408"/>
      <c r="CA115" s="408"/>
      <c r="CB115" s="408"/>
      <c r="CC115" s="408"/>
      <c r="CD115" s="408"/>
      <c r="CE115" s="408"/>
      <c r="CF115" s="393" t="s">
        <v>166</v>
      </c>
      <c r="CG115" s="393"/>
      <c r="CH115" s="393"/>
      <c r="CI115" s="393"/>
      <c r="CJ115" s="393"/>
      <c r="CK115" s="393"/>
      <c r="CL115" s="393"/>
      <c r="CM115" s="393"/>
      <c r="CN115" s="393"/>
      <c r="CO115" s="393"/>
      <c r="CP115" s="393"/>
      <c r="CQ115" s="393"/>
      <c r="CR115" s="393"/>
      <c r="CS115" s="408" t="s">
        <v>473</v>
      </c>
      <c r="CT115" s="408"/>
      <c r="CU115" s="408"/>
      <c r="CV115" s="408"/>
      <c r="CW115" s="408"/>
      <c r="CX115" s="408"/>
      <c r="CY115" s="408"/>
      <c r="CZ115" s="408"/>
      <c r="DA115" s="408"/>
      <c r="DB115" s="408"/>
      <c r="DC115" s="408"/>
      <c r="DD115" s="408"/>
      <c r="DE115" s="408"/>
      <c r="DF115" s="409">
        <f>'Раздел  обоснование 2022сш'!E259</f>
        <v>1707.5</v>
      </c>
      <c r="DG115" s="409"/>
      <c r="DH115" s="409"/>
      <c r="DI115" s="409"/>
      <c r="DJ115" s="409"/>
      <c r="DK115" s="409"/>
      <c r="DL115" s="409"/>
      <c r="DM115" s="409"/>
      <c r="DN115" s="409"/>
      <c r="DO115" s="409"/>
      <c r="DP115" s="409"/>
      <c r="DQ115" s="409"/>
      <c r="DR115" s="409"/>
      <c r="DS115" s="409">
        <v>0</v>
      </c>
      <c r="DT115" s="409"/>
      <c r="DU115" s="409"/>
      <c r="DV115" s="409"/>
      <c r="DW115" s="409"/>
      <c r="DX115" s="409"/>
      <c r="DY115" s="409"/>
      <c r="DZ115" s="409"/>
      <c r="EA115" s="409"/>
      <c r="EB115" s="409"/>
      <c r="EC115" s="409"/>
      <c r="ED115" s="409"/>
      <c r="EE115" s="409"/>
      <c r="EF115" s="409">
        <v>0</v>
      </c>
      <c r="EG115" s="409"/>
      <c r="EH115" s="409"/>
      <c r="EI115" s="409"/>
      <c r="EJ115" s="409"/>
      <c r="EK115" s="409"/>
      <c r="EL115" s="409"/>
      <c r="EM115" s="409"/>
      <c r="EN115" s="409"/>
      <c r="EO115" s="409"/>
      <c r="EP115" s="409"/>
      <c r="EQ115" s="409"/>
      <c r="ER115" s="409"/>
      <c r="ES115" s="437"/>
      <c r="ET115" s="437"/>
      <c r="EU115" s="437"/>
      <c r="EV115" s="437"/>
      <c r="EW115" s="437"/>
      <c r="EX115" s="437"/>
      <c r="EY115" s="437"/>
      <c r="EZ115" s="437"/>
      <c r="FA115" s="437"/>
      <c r="FB115" s="437"/>
      <c r="FC115" s="437"/>
      <c r="FD115" s="437"/>
      <c r="FE115" s="438"/>
      <c r="FF115" s="140">
        <f>1707.5</f>
        <v>1707.5</v>
      </c>
      <c r="FG115" s="272">
        <f t="shared" si="0"/>
        <v>0</v>
      </c>
      <c r="FT115" s="123"/>
      <c r="FU115" s="124"/>
      <c r="FV115" s="124"/>
      <c r="FW115" s="117"/>
    </row>
    <row r="116" spans="1:179" s="118" customFormat="1" ht="11.25" customHeight="1">
      <c r="A116" s="435" t="s">
        <v>481</v>
      </c>
      <c r="B116" s="436"/>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436"/>
      <c r="BM116" s="436"/>
      <c r="BN116" s="436"/>
      <c r="BO116" s="436"/>
      <c r="BP116" s="436"/>
      <c r="BQ116" s="436"/>
      <c r="BR116" s="436"/>
      <c r="BS116" s="436"/>
      <c r="BT116" s="436"/>
      <c r="BU116" s="436"/>
      <c r="BV116" s="436"/>
      <c r="BW116" s="436"/>
      <c r="BX116" s="407"/>
      <c r="BY116" s="408"/>
      <c r="BZ116" s="408"/>
      <c r="CA116" s="408"/>
      <c r="CB116" s="408"/>
      <c r="CC116" s="408"/>
      <c r="CD116" s="408"/>
      <c r="CE116" s="408"/>
      <c r="CF116" s="393" t="s">
        <v>166</v>
      </c>
      <c r="CG116" s="393"/>
      <c r="CH116" s="393"/>
      <c r="CI116" s="393"/>
      <c r="CJ116" s="393"/>
      <c r="CK116" s="393"/>
      <c r="CL116" s="393"/>
      <c r="CM116" s="393"/>
      <c r="CN116" s="393"/>
      <c r="CO116" s="393"/>
      <c r="CP116" s="393"/>
      <c r="CQ116" s="393"/>
      <c r="CR116" s="393"/>
      <c r="CS116" s="408" t="s">
        <v>474</v>
      </c>
      <c r="CT116" s="408"/>
      <c r="CU116" s="408"/>
      <c r="CV116" s="408"/>
      <c r="CW116" s="408"/>
      <c r="CX116" s="408"/>
      <c r="CY116" s="408"/>
      <c r="CZ116" s="408"/>
      <c r="DA116" s="408"/>
      <c r="DB116" s="408"/>
      <c r="DC116" s="408"/>
      <c r="DD116" s="408"/>
      <c r="DE116" s="408"/>
      <c r="DF116" s="409">
        <f>'Раздел  обоснование 2022сш'!E256+'Раздел  обоснование 2022сш'!E270</f>
        <v>240621.9</v>
      </c>
      <c r="DG116" s="409"/>
      <c r="DH116" s="409"/>
      <c r="DI116" s="409"/>
      <c r="DJ116" s="409"/>
      <c r="DK116" s="409"/>
      <c r="DL116" s="409"/>
      <c r="DM116" s="409"/>
      <c r="DN116" s="409"/>
      <c r="DO116" s="409"/>
      <c r="DP116" s="409"/>
      <c r="DQ116" s="409"/>
      <c r="DR116" s="409"/>
      <c r="DS116" s="409">
        <f>'Раздел  обоснование 2023сш '!E196</f>
        <v>0</v>
      </c>
      <c r="DT116" s="409"/>
      <c r="DU116" s="409"/>
      <c r="DV116" s="409"/>
      <c r="DW116" s="409"/>
      <c r="DX116" s="409"/>
      <c r="DY116" s="409"/>
      <c r="DZ116" s="409"/>
      <c r="EA116" s="409"/>
      <c r="EB116" s="409"/>
      <c r="EC116" s="409"/>
      <c r="ED116" s="409"/>
      <c r="EE116" s="409"/>
      <c r="EF116" s="409">
        <f>'Раздел  обоснование 2024сш'!E198</f>
        <v>0</v>
      </c>
      <c r="EG116" s="409"/>
      <c r="EH116" s="409"/>
      <c r="EI116" s="409"/>
      <c r="EJ116" s="409"/>
      <c r="EK116" s="409"/>
      <c r="EL116" s="409"/>
      <c r="EM116" s="409"/>
      <c r="EN116" s="409"/>
      <c r="EO116" s="409"/>
      <c r="EP116" s="409"/>
      <c r="EQ116" s="409"/>
      <c r="ER116" s="409"/>
      <c r="ES116" s="437"/>
      <c r="ET116" s="437"/>
      <c r="EU116" s="437"/>
      <c r="EV116" s="437"/>
      <c r="EW116" s="437"/>
      <c r="EX116" s="437"/>
      <c r="EY116" s="437"/>
      <c r="EZ116" s="437"/>
      <c r="FA116" s="437"/>
      <c r="FB116" s="437"/>
      <c r="FC116" s="437"/>
      <c r="FD116" s="437"/>
      <c r="FE116" s="438"/>
      <c r="FF116" s="140">
        <f>240621.9</f>
        <v>240621.9</v>
      </c>
      <c r="FG116" s="272">
        <f t="shared" si="0"/>
        <v>0</v>
      </c>
      <c r="FT116" s="123"/>
      <c r="FU116" s="124"/>
      <c r="FV116" s="124"/>
      <c r="FW116" s="117"/>
    </row>
    <row r="117" spans="1:179" s="118" customFormat="1" ht="11.25" customHeight="1">
      <c r="A117" s="435" t="s">
        <v>482</v>
      </c>
      <c r="B117" s="436"/>
      <c r="C117" s="436"/>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6"/>
      <c r="AY117" s="436"/>
      <c r="AZ117" s="436"/>
      <c r="BA117" s="436"/>
      <c r="BB117" s="436"/>
      <c r="BC117" s="436"/>
      <c r="BD117" s="436"/>
      <c r="BE117" s="436"/>
      <c r="BF117" s="436"/>
      <c r="BG117" s="436"/>
      <c r="BH117" s="436"/>
      <c r="BI117" s="436"/>
      <c r="BJ117" s="436"/>
      <c r="BK117" s="436"/>
      <c r="BL117" s="436"/>
      <c r="BM117" s="436"/>
      <c r="BN117" s="436"/>
      <c r="BO117" s="436"/>
      <c r="BP117" s="436"/>
      <c r="BQ117" s="436"/>
      <c r="BR117" s="436"/>
      <c r="BS117" s="436"/>
      <c r="BT117" s="436"/>
      <c r="BU117" s="436"/>
      <c r="BV117" s="436"/>
      <c r="BW117" s="436"/>
      <c r="BX117" s="407"/>
      <c r="BY117" s="408"/>
      <c r="BZ117" s="408"/>
      <c r="CA117" s="408"/>
      <c r="CB117" s="408"/>
      <c r="CC117" s="408"/>
      <c r="CD117" s="408"/>
      <c r="CE117" s="408"/>
      <c r="CF117" s="393" t="s">
        <v>166</v>
      </c>
      <c r="CG117" s="393"/>
      <c r="CH117" s="393"/>
      <c r="CI117" s="393"/>
      <c r="CJ117" s="393"/>
      <c r="CK117" s="393"/>
      <c r="CL117" s="393"/>
      <c r="CM117" s="393"/>
      <c r="CN117" s="393"/>
      <c r="CO117" s="393"/>
      <c r="CP117" s="393"/>
      <c r="CQ117" s="393"/>
      <c r="CR117" s="393"/>
      <c r="CS117" s="408" t="s">
        <v>475</v>
      </c>
      <c r="CT117" s="408"/>
      <c r="CU117" s="408"/>
      <c r="CV117" s="408"/>
      <c r="CW117" s="408"/>
      <c r="CX117" s="408"/>
      <c r="CY117" s="408"/>
      <c r="CZ117" s="408"/>
      <c r="DA117" s="408"/>
      <c r="DB117" s="408"/>
      <c r="DC117" s="408"/>
      <c r="DD117" s="408"/>
      <c r="DE117" s="408"/>
      <c r="DF117" s="409">
        <f>'Раздел  обоснование 2022сш'!E271</f>
        <v>40500</v>
      </c>
      <c r="DG117" s="409"/>
      <c r="DH117" s="409"/>
      <c r="DI117" s="409"/>
      <c r="DJ117" s="409"/>
      <c r="DK117" s="409"/>
      <c r="DL117" s="409"/>
      <c r="DM117" s="409"/>
      <c r="DN117" s="409"/>
      <c r="DO117" s="409"/>
      <c r="DP117" s="409"/>
      <c r="DQ117" s="409"/>
      <c r="DR117" s="409"/>
      <c r="DS117" s="409">
        <f>'Раздел  обоснование 2023сш '!E199</f>
        <v>0</v>
      </c>
      <c r="DT117" s="409"/>
      <c r="DU117" s="409"/>
      <c r="DV117" s="409"/>
      <c r="DW117" s="409"/>
      <c r="DX117" s="409"/>
      <c r="DY117" s="409"/>
      <c r="DZ117" s="409"/>
      <c r="EA117" s="409"/>
      <c r="EB117" s="409"/>
      <c r="EC117" s="409"/>
      <c r="ED117" s="409"/>
      <c r="EE117" s="409"/>
      <c r="EF117" s="409">
        <f>'Раздел  обоснование 2024сш'!E201</f>
        <v>0</v>
      </c>
      <c r="EG117" s="409"/>
      <c r="EH117" s="409"/>
      <c r="EI117" s="409"/>
      <c r="EJ117" s="409"/>
      <c r="EK117" s="409"/>
      <c r="EL117" s="409"/>
      <c r="EM117" s="409"/>
      <c r="EN117" s="409"/>
      <c r="EO117" s="409"/>
      <c r="EP117" s="409"/>
      <c r="EQ117" s="409"/>
      <c r="ER117" s="409"/>
      <c r="ES117" s="437"/>
      <c r="ET117" s="437"/>
      <c r="EU117" s="437"/>
      <c r="EV117" s="437"/>
      <c r="EW117" s="437"/>
      <c r="EX117" s="437"/>
      <c r="EY117" s="437"/>
      <c r="EZ117" s="437"/>
      <c r="FA117" s="437"/>
      <c r="FB117" s="437"/>
      <c r="FC117" s="437"/>
      <c r="FD117" s="437"/>
      <c r="FE117" s="438"/>
      <c r="FF117" s="140">
        <f>40500</f>
        <v>40500</v>
      </c>
      <c r="FG117" s="272">
        <f t="shared" si="0"/>
        <v>0</v>
      </c>
      <c r="FT117" s="123"/>
      <c r="FU117" s="124"/>
      <c r="FV117" s="124"/>
      <c r="FW117" s="117"/>
    </row>
    <row r="118" spans="1:179" s="118" customFormat="1" ht="11.25" customHeight="1">
      <c r="A118" s="435" t="s">
        <v>483</v>
      </c>
      <c r="B118" s="436"/>
      <c r="C118" s="436"/>
      <c r="D118" s="436"/>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6"/>
      <c r="AY118" s="436"/>
      <c r="AZ118" s="436"/>
      <c r="BA118" s="436"/>
      <c r="BB118" s="436"/>
      <c r="BC118" s="436"/>
      <c r="BD118" s="436"/>
      <c r="BE118" s="436"/>
      <c r="BF118" s="436"/>
      <c r="BG118" s="436"/>
      <c r="BH118" s="436"/>
      <c r="BI118" s="436"/>
      <c r="BJ118" s="436"/>
      <c r="BK118" s="436"/>
      <c r="BL118" s="436"/>
      <c r="BM118" s="436"/>
      <c r="BN118" s="436"/>
      <c r="BO118" s="436"/>
      <c r="BP118" s="436"/>
      <c r="BQ118" s="436"/>
      <c r="BR118" s="436"/>
      <c r="BS118" s="436"/>
      <c r="BT118" s="436"/>
      <c r="BU118" s="436"/>
      <c r="BV118" s="436"/>
      <c r="BW118" s="436"/>
      <c r="BX118" s="407"/>
      <c r="BY118" s="408"/>
      <c r="BZ118" s="408"/>
      <c r="CA118" s="408"/>
      <c r="CB118" s="408"/>
      <c r="CC118" s="408"/>
      <c r="CD118" s="408"/>
      <c r="CE118" s="408"/>
      <c r="CF118" s="393" t="s">
        <v>166</v>
      </c>
      <c r="CG118" s="393"/>
      <c r="CH118" s="393"/>
      <c r="CI118" s="393"/>
      <c r="CJ118" s="393"/>
      <c r="CK118" s="393"/>
      <c r="CL118" s="393"/>
      <c r="CM118" s="393"/>
      <c r="CN118" s="393"/>
      <c r="CO118" s="393"/>
      <c r="CP118" s="393"/>
      <c r="CQ118" s="393"/>
      <c r="CR118" s="393"/>
      <c r="CS118" s="408" t="s">
        <v>476</v>
      </c>
      <c r="CT118" s="408"/>
      <c r="CU118" s="408"/>
      <c r="CV118" s="408"/>
      <c r="CW118" s="408"/>
      <c r="CX118" s="408"/>
      <c r="CY118" s="408"/>
      <c r="CZ118" s="408"/>
      <c r="DA118" s="408"/>
      <c r="DB118" s="408"/>
      <c r="DC118" s="408"/>
      <c r="DD118" s="408"/>
      <c r="DE118" s="408"/>
      <c r="DF118" s="409">
        <f>'Раздел  обоснование 2022сш'!E254+'Раздел  обоснование 2022сш'!E261+'Раздел  обоснование 2022сш'!E276+'Раздел  обоснование 2022сш'!E269</f>
        <v>1111555.34</v>
      </c>
      <c r="DG118" s="409"/>
      <c r="DH118" s="409"/>
      <c r="DI118" s="409"/>
      <c r="DJ118" s="409"/>
      <c r="DK118" s="409"/>
      <c r="DL118" s="409"/>
      <c r="DM118" s="409"/>
      <c r="DN118" s="409"/>
      <c r="DO118" s="409"/>
      <c r="DP118" s="409"/>
      <c r="DQ118" s="409"/>
      <c r="DR118" s="409"/>
      <c r="DS118" s="409">
        <f>'Раздел  обоснование 2023сш '!E213+'Раздел  обоснование 2023сш '!E194</f>
        <v>906148.21</v>
      </c>
      <c r="DT118" s="409"/>
      <c r="DU118" s="409"/>
      <c r="DV118" s="409"/>
      <c r="DW118" s="409"/>
      <c r="DX118" s="409"/>
      <c r="DY118" s="409"/>
      <c r="DZ118" s="409"/>
      <c r="EA118" s="409"/>
      <c r="EB118" s="409"/>
      <c r="EC118" s="409"/>
      <c r="ED118" s="409"/>
      <c r="EE118" s="409"/>
      <c r="EF118" s="409">
        <f>'Раздел  обоснование 2024сш'!E196+'Раздел  обоснование 2024сш'!E215</f>
        <v>906148.21</v>
      </c>
      <c r="EG118" s="409"/>
      <c r="EH118" s="409"/>
      <c r="EI118" s="409"/>
      <c r="EJ118" s="409"/>
      <c r="EK118" s="409"/>
      <c r="EL118" s="409"/>
      <c r="EM118" s="409"/>
      <c r="EN118" s="409"/>
      <c r="EO118" s="409"/>
      <c r="EP118" s="409"/>
      <c r="EQ118" s="409"/>
      <c r="ER118" s="409"/>
      <c r="ES118" s="437"/>
      <c r="ET118" s="437"/>
      <c r="EU118" s="437"/>
      <c r="EV118" s="437"/>
      <c r="EW118" s="437"/>
      <c r="EX118" s="437"/>
      <c r="EY118" s="437"/>
      <c r="EZ118" s="437"/>
      <c r="FA118" s="437"/>
      <c r="FB118" s="437"/>
      <c r="FC118" s="437"/>
      <c r="FD118" s="437"/>
      <c r="FE118" s="438"/>
      <c r="FF118" s="140">
        <f>1111555.34</f>
        <v>1111555.34</v>
      </c>
      <c r="FG118" s="272">
        <f t="shared" si="0"/>
        <v>0</v>
      </c>
      <c r="FH118" s="125"/>
      <c r="FT118" s="123"/>
      <c r="FU118" s="124"/>
      <c r="FV118" s="124"/>
      <c r="FW118" s="117"/>
    </row>
    <row r="119" spans="1:179" s="118" customFormat="1" ht="11.25" customHeight="1">
      <c r="A119" s="435" t="s">
        <v>484</v>
      </c>
      <c r="B119" s="436"/>
      <c r="C119" s="436"/>
      <c r="D119" s="436"/>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6"/>
      <c r="AY119" s="436"/>
      <c r="AZ119" s="436"/>
      <c r="BA119" s="436"/>
      <c r="BB119" s="436"/>
      <c r="BC119" s="436"/>
      <c r="BD119" s="436"/>
      <c r="BE119" s="436"/>
      <c r="BF119" s="436"/>
      <c r="BG119" s="436"/>
      <c r="BH119" s="436"/>
      <c r="BI119" s="436"/>
      <c r="BJ119" s="436"/>
      <c r="BK119" s="436"/>
      <c r="BL119" s="436"/>
      <c r="BM119" s="436"/>
      <c r="BN119" s="436"/>
      <c r="BO119" s="436"/>
      <c r="BP119" s="436"/>
      <c r="BQ119" s="436"/>
      <c r="BR119" s="436"/>
      <c r="BS119" s="436"/>
      <c r="BT119" s="436"/>
      <c r="BU119" s="436"/>
      <c r="BV119" s="436"/>
      <c r="BW119" s="436"/>
      <c r="BX119" s="407"/>
      <c r="BY119" s="408"/>
      <c r="BZ119" s="408"/>
      <c r="CA119" s="408"/>
      <c r="CB119" s="408"/>
      <c r="CC119" s="408"/>
      <c r="CD119" s="408"/>
      <c r="CE119" s="408"/>
      <c r="CF119" s="393" t="s">
        <v>166</v>
      </c>
      <c r="CG119" s="393"/>
      <c r="CH119" s="393"/>
      <c r="CI119" s="393"/>
      <c r="CJ119" s="393"/>
      <c r="CK119" s="393"/>
      <c r="CL119" s="393"/>
      <c r="CM119" s="393"/>
      <c r="CN119" s="393"/>
      <c r="CO119" s="393"/>
      <c r="CP119" s="393"/>
      <c r="CQ119" s="393"/>
      <c r="CR119" s="393"/>
      <c r="CS119" s="408" t="s">
        <v>477</v>
      </c>
      <c r="CT119" s="408"/>
      <c r="CU119" s="408"/>
      <c r="CV119" s="408"/>
      <c r="CW119" s="408"/>
      <c r="CX119" s="408"/>
      <c r="CY119" s="408"/>
      <c r="CZ119" s="408"/>
      <c r="DA119" s="408"/>
      <c r="DB119" s="408"/>
      <c r="DC119" s="408"/>
      <c r="DD119" s="408"/>
      <c r="DE119" s="408"/>
      <c r="DF119" s="409">
        <f>'Раздел  обоснование 2022сш'!E257+'Раздел  обоснование 2022сш'!E263+'Раздел  обоснование 2022сш'!E274+'Раздел  обоснование 2022сш'!E264</f>
        <v>16690.32</v>
      </c>
      <c r="DG119" s="409"/>
      <c r="DH119" s="409"/>
      <c r="DI119" s="409"/>
      <c r="DJ119" s="409"/>
      <c r="DK119" s="409"/>
      <c r="DL119" s="409"/>
      <c r="DM119" s="409"/>
      <c r="DN119" s="409"/>
      <c r="DO119" s="409"/>
      <c r="DP119" s="409"/>
      <c r="DQ119" s="409"/>
      <c r="DR119" s="409"/>
      <c r="DS119" s="409">
        <f>'Раздел  обоснование 2023сш '!E210</f>
        <v>0</v>
      </c>
      <c r="DT119" s="409"/>
      <c r="DU119" s="409"/>
      <c r="DV119" s="409"/>
      <c r="DW119" s="409"/>
      <c r="DX119" s="409"/>
      <c r="DY119" s="409"/>
      <c r="DZ119" s="409"/>
      <c r="EA119" s="409"/>
      <c r="EB119" s="409"/>
      <c r="EC119" s="409"/>
      <c r="ED119" s="409"/>
      <c r="EE119" s="409"/>
      <c r="EF119" s="409">
        <f>'Раздел  обоснование 2024сш'!E212</f>
        <v>0</v>
      </c>
      <c r="EG119" s="409"/>
      <c r="EH119" s="409"/>
      <c r="EI119" s="409"/>
      <c r="EJ119" s="409"/>
      <c r="EK119" s="409"/>
      <c r="EL119" s="409"/>
      <c r="EM119" s="409"/>
      <c r="EN119" s="409"/>
      <c r="EO119" s="409"/>
      <c r="EP119" s="409"/>
      <c r="EQ119" s="409"/>
      <c r="ER119" s="409"/>
      <c r="ES119" s="437"/>
      <c r="ET119" s="437"/>
      <c r="EU119" s="437"/>
      <c r="EV119" s="437"/>
      <c r="EW119" s="437"/>
      <c r="EX119" s="437"/>
      <c r="EY119" s="437"/>
      <c r="EZ119" s="437"/>
      <c r="FA119" s="437"/>
      <c r="FB119" s="437"/>
      <c r="FC119" s="437"/>
      <c r="FD119" s="437"/>
      <c r="FE119" s="438"/>
      <c r="FF119" s="140">
        <f>16690.32</f>
        <v>16690.32</v>
      </c>
      <c r="FG119" s="272">
        <f t="shared" si="0"/>
        <v>0</v>
      </c>
      <c r="FT119" s="123"/>
      <c r="FU119" s="124"/>
      <c r="FV119" s="124"/>
      <c r="FW119" s="117"/>
    </row>
    <row r="120" spans="1:178" ht="11.25" customHeight="1">
      <c r="A120" s="465" t="s">
        <v>167</v>
      </c>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6"/>
      <c r="BB120" s="466"/>
      <c r="BC120" s="466"/>
      <c r="BD120" s="466"/>
      <c r="BE120" s="466"/>
      <c r="BF120" s="466"/>
      <c r="BG120" s="466"/>
      <c r="BH120" s="466"/>
      <c r="BI120" s="466"/>
      <c r="BJ120" s="466"/>
      <c r="BK120" s="466"/>
      <c r="BL120" s="466"/>
      <c r="BM120" s="466"/>
      <c r="BN120" s="466"/>
      <c r="BO120" s="466"/>
      <c r="BP120" s="466"/>
      <c r="BQ120" s="466"/>
      <c r="BR120" s="466"/>
      <c r="BS120" s="466"/>
      <c r="BT120" s="466"/>
      <c r="BU120" s="466"/>
      <c r="BV120" s="466"/>
      <c r="BW120" s="466"/>
      <c r="BX120" s="428" t="s">
        <v>168</v>
      </c>
      <c r="BY120" s="429"/>
      <c r="BZ120" s="429"/>
      <c r="CA120" s="429"/>
      <c r="CB120" s="429"/>
      <c r="CC120" s="429"/>
      <c r="CD120" s="429"/>
      <c r="CE120" s="430"/>
      <c r="CF120" s="431" t="s">
        <v>169</v>
      </c>
      <c r="CG120" s="429"/>
      <c r="CH120" s="429"/>
      <c r="CI120" s="429"/>
      <c r="CJ120" s="429"/>
      <c r="CK120" s="429"/>
      <c r="CL120" s="429"/>
      <c r="CM120" s="429"/>
      <c r="CN120" s="429"/>
      <c r="CO120" s="429"/>
      <c r="CP120" s="429"/>
      <c r="CQ120" s="429"/>
      <c r="CR120" s="430"/>
      <c r="CS120" s="431"/>
      <c r="CT120" s="429"/>
      <c r="CU120" s="429"/>
      <c r="CV120" s="429"/>
      <c r="CW120" s="429"/>
      <c r="CX120" s="429"/>
      <c r="CY120" s="429"/>
      <c r="CZ120" s="429"/>
      <c r="DA120" s="429"/>
      <c r="DB120" s="429"/>
      <c r="DC120" s="429"/>
      <c r="DD120" s="429"/>
      <c r="DE120" s="430"/>
      <c r="DF120" s="413"/>
      <c r="DG120" s="414"/>
      <c r="DH120" s="414"/>
      <c r="DI120" s="414"/>
      <c r="DJ120" s="414"/>
      <c r="DK120" s="414"/>
      <c r="DL120" s="414"/>
      <c r="DM120" s="414"/>
      <c r="DN120" s="414"/>
      <c r="DO120" s="414"/>
      <c r="DP120" s="414"/>
      <c r="DQ120" s="414"/>
      <c r="DR120" s="450"/>
      <c r="DS120" s="413"/>
      <c r="DT120" s="414"/>
      <c r="DU120" s="414"/>
      <c r="DV120" s="414"/>
      <c r="DW120" s="414"/>
      <c r="DX120" s="414"/>
      <c r="DY120" s="414"/>
      <c r="DZ120" s="414"/>
      <c r="EA120" s="414"/>
      <c r="EB120" s="414"/>
      <c r="EC120" s="414"/>
      <c r="ED120" s="414"/>
      <c r="EE120" s="450"/>
      <c r="EF120" s="413"/>
      <c r="EG120" s="414"/>
      <c r="EH120" s="414"/>
      <c r="EI120" s="414"/>
      <c r="EJ120" s="414"/>
      <c r="EK120" s="414"/>
      <c r="EL120" s="414"/>
      <c r="EM120" s="414"/>
      <c r="EN120" s="414"/>
      <c r="EO120" s="414"/>
      <c r="EP120" s="414"/>
      <c r="EQ120" s="414"/>
      <c r="ER120" s="450"/>
      <c r="ES120" s="413"/>
      <c r="ET120" s="414"/>
      <c r="EU120" s="414"/>
      <c r="EV120" s="414"/>
      <c r="EW120" s="414"/>
      <c r="EX120" s="414"/>
      <c r="EY120" s="414"/>
      <c r="EZ120" s="414"/>
      <c r="FA120" s="414"/>
      <c r="FB120" s="414"/>
      <c r="FC120" s="414"/>
      <c r="FD120" s="414"/>
      <c r="FE120" s="415"/>
      <c r="FF120" s="140"/>
      <c r="FG120" s="269"/>
      <c r="FT120" s="127"/>
      <c r="FU120" s="127"/>
      <c r="FV120" s="127"/>
    </row>
    <row r="121" spans="1:162" ht="33.75" customHeight="1">
      <c r="A121" s="463" t="s">
        <v>170</v>
      </c>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28" t="s">
        <v>171</v>
      </c>
      <c r="BY121" s="429"/>
      <c r="BZ121" s="429"/>
      <c r="CA121" s="429"/>
      <c r="CB121" s="429"/>
      <c r="CC121" s="429"/>
      <c r="CD121" s="429"/>
      <c r="CE121" s="430"/>
      <c r="CF121" s="431" t="s">
        <v>172</v>
      </c>
      <c r="CG121" s="429"/>
      <c r="CH121" s="429"/>
      <c r="CI121" s="429"/>
      <c r="CJ121" s="429"/>
      <c r="CK121" s="429"/>
      <c r="CL121" s="429"/>
      <c r="CM121" s="429"/>
      <c r="CN121" s="429"/>
      <c r="CO121" s="429"/>
      <c r="CP121" s="429"/>
      <c r="CQ121" s="429"/>
      <c r="CR121" s="430"/>
      <c r="CS121" s="431"/>
      <c r="CT121" s="429"/>
      <c r="CU121" s="429"/>
      <c r="CV121" s="429"/>
      <c r="CW121" s="429"/>
      <c r="CX121" s="429"/>
      <c r="CY121" s="429"/>
      <c r="CZ121" s="429"/>
      <c r="DA121" s="429"/>
      <c r="DB121" s="429"/>
      <c r="DC121" s="429"/>
      <c r="DD121" s="429"/>
      <c r="DE121" s="430"/>
      <c r="DF121" s="413"/>
      <c r="DG121" s="414"/>
      <c r="DH121" s="414"/>
      <c r="DI121" s="414"/>
      <c r="DJ121" s="414"/>
      <c r="DK121" s="414"/>
      <c r="DL121" s="414"/>
      <c r="DM121" s="414"/>
      <c r="DN121" s="414"/>
      <c r="DO121" s="414"/>
      <c r="DP121" s="414"/>
      <c r="DQ121" s="414"/>
      <c r="DR121" s="450"/>
      <c r="DS121" s="413"/>
      <c r="DT121" s="414"/>
      <c r="DU121" s="414"/>
      <c r="DV121" s="414"/>
      <c r="DW121" s="414"/>
      <c r="DX121" s="414"/>
      <c r="DY121" s="414"/>
      <c r="DZ121" s="414"/>
      <c r="EA121" s="414"/>
      <c r="EB121" s="414"/>
      <c r="EC121" s="414"/>
      <c r="ED121" s="414"/>
      <c r="EE121" s="450"/>
      <c r="EF121" s="413"/>
      <c r="EG121" s="414"/>
      <c r="EH121" s="414"/>
      <c r="EI121" s="414"/>
      <c r="EJ121" s="414"/>
      <c r="EK121" s="414"/>
      <c r="EL121" s="414"/>
      <c r="EM121" s="414"/>
      <c r="EN121" s="414"/>
      <c r="EO121" s="414"/>
      <c r="EP121" s="414"/>
      <c r="EQ121" s="414"/>
      <c r="ER121" s="450"/>
      <c r="ES121" s="413"/>
      <c r="ET121" s="414"/>
      <c r="EU121" s="414"/>
      <c r="EV121" s="414"/>
      <c r="EW121" s="414"/>
      <c r="EX121" s="414"/>
      <c r="EY121" s="414"/>
      <c r="EZ121" s="414"/>
      <c r="FA121" s="414"/>
      <c r="FB121" s="414"/>
      <c r="FC121" s="414"/>
      <c r="FD121" s="414"/>
      <c r="FE121" s="415"/>
      <c r="FF121" s="278"/>
    </row>
    <row r="122" spans="1:162" ht="22.5" customHeight="1">
      <c r="A122" s="463" t="s">
        <v>173</v>
      </c>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28" t="s">
        <v>174</v>
      </c>
      <c r="BY122" s="429"/>
      <c r="BZ122" s="429"/>
      <c r="CA122" s="429"/>
      <c r="CB122" s="429"/>
      <c r="CC122" s="429"/>
      <c r="CD122" s="429"/>
      <c r="CE122" s="430"/>
      <c r="CF122" s="431" t="s">
        <v>175</v>
      </c>
      <c r="CG122" s="429"/>
      <c r="CH122" s="429"/>
      <c r="CI122" s="429"/>
      <c r="CJ122" s="429"/>
      <c r="CK122" s="429"/>
      <c r="CL122" s="429"/>
      <c r="CM122" s="429"/>
      <c r="CN122" s="429"/>
      <c r="CO122" s="429"/>
      <c r="CP122" s="429"/>
      <c r="CQ122" s="429"/>
      <c r="CR122" s="430"/>
      <c r="CS122" s="431"/>
      <c r="CT122" s="429"/>
      <c r="CU122" s="429"/>
      <c r="CV122" s="429"/>
      <c r="CW122" s="429"/>
      <c r="CX122" s="429"/>
      <c r="CY122" s="429"/>
      <c r="CZ122" s="429"/>
      <c r="DA122" s="429"/>
      <c r="DB122" s="429"/>
      <c r="DC122" s="429"/>
      <c r="DD122" s="429"/>
      <c r="DE122" s="430"/>
      <c r="DF122" s="413"/>
      <c r="DG122" s="414"/>
      <c r="DH122" s="414"/>
      <c r="DI122" s="414"/>
      <c r="DJ122" s="414"/>
      <c r="DK122" s="414"/>
      <c r="DL122" s="414"/>
      <c r="DM122" s="414"/>
      <c r="DN122" s="414"/>
      <c r="DO122" s="414"/>
      <c r="DP122" s="414"/>
      <c r="DQ122" s="414"/>
      <c r="DR122" s="450"/>
      <c r="DS122" s="413"/>
      <c r="DT122" s="414"/>
      <c r="DU122" s="414"/>
      <c r="DV122" s="414"/>
      <c r="DW122" s="414"/>
      <c r="DX122" s="414"/>
      <c r="DY122" s="414"/>
      <c r="DZ122" s="414"/>
      <c r="EA122" s="414"/>
      <c r="EB122" s="414"/>
      <c r="EC122" s="414"/>
      <c r="ED122" s="414"/>
      <c r="EE122" s="450"/>
      <c r="EF122" s="413"/>
      <c r="EG122" s="414"/>
      <c r="EH122" s="414"/>
      <c r="EI122" s="414"/>
      <c r="EJ122" s="414"/>
      <c r="EK122" s="414"/>
      <c r="EL122" s="414"/>
      <c r="EM122" s="414"/>
      <c r="EN122" s="414"/>
      <c r="EO122" s="414"/>
      <c r="EP122" s="414"/>
      <c r="EQ122" s="414"/>
      <c r="ER122" s="450"/>
      <c r="ES122" s="413"/>
      <c r="ET122" s="414"/>
      <c r="EU122" s="414"/>
      <c r="EV122" s="414"/>
      <c r="EW122" s="414"/>
      <c r="EX122" s="414"/>
      <c r="EY122" s="414"/>
      <c r="EZ122" s="414"/>
      <c r="FA122" s="414"/>
      <c r="FB122" s="414"/>
      <c r="FC122" s="414"/>
      <c r="FD122" s="414"/>
      <c r="FE122" s="415"/>
      <c r="FF122" s="278"/>
    </row>
    <row r="123" spans="1:163" ht="12.75" customHeight="1">
      <c r="A123" s="451" t="s">
        <v>176</v>
      </c>
      <c r="B123" s="452"/>
      <c r="C123" s="452"/>
      <c r="D123" s="452"/>
      <c r="E123" s="452"/>
      <c r="F123" s="452"/>
      <c r="G123" s="452"/>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452"/>
      <c r="BC123" s="452"/>
      <c r="BD123" s="452"/>
      <c r="BE123" s="452"/>
      <c r="BF123" s="452"/>
      <c r="BG123" s="452"/>
      <c r="BH123" s="452"/>
      <c r="BI123" s="452"/>
      <c r="BJ123" s="452"/>
      <c r="BK123" s="452"/>
      <c r="BL123" s="452"/>
      <c r="BM123" s="452"/>
      <c r="BN123" s="452"/>
      <c r="BO123" s="452"/>
      <c r="BP123" s="452"/>
      <c r="BQ123" s="452"/>
      <c r="BR123" s="452"/>
      <c r="BS123" s="452"/>
      <c r="BT123" s="452"/>
      <c r="BU123" s="452"/>
      <c r="BV123" s="452"/>
      <c r="BW123" s="452"/>
      <c r="BX123" s="453" t="s">
        <v>177</v>
      </c>
      <c r="BY123" s="454"/>
      <c r="BZ123" s="454"/>
      <c r="CA123" s="454"/>
      <c r="CB123" s="454"/>
      <c r="CC123" s="454"/>
      <c r="CD123" s="454"/>
      <c r="CE123" s="455"/>
      <c r="CF123" s="456" t="s">
        <v>178</v>
      </c>
      <c r="CG123" s="454"/>
      <c r="CH123" s="454"/>
      <c r="CI123" s="454"/>
      <c r="CJ123" s="454"/>
      <c r="CK123" s="454"/>
      <c r="CL123" s="454"/>
      <c r="CM123" s="454"/>
      <c r="CN123" s="454"/>
      <c r="CO123" s="454"/>
      <c r="CP123" s="454"/>
      <c r="CQ123" s="454"/>
      <c r="CR123" s="455"/>
      <c r="CS123" s="431" t="s">
        <v>450</v>
      </c>
      <c r="CT123" s="429"/>
      <c r="CU123" s="429"/>
      <c r="CV123" s="429"/>
      <c r="CW123" s="429"/>
      <c r="CX123" s="429"/>
      <c r="CY123" s="429"/>
      <c r="CZ123" s="429"/>
      <c r="DA123" s="429"/>
      <c r="DB123" s="429"/>
      <c r="DC123" s="429"/>
      <c r="DD123" s="429"/>
      <c r="DE123" s="430"/>
      <c r="DF123" s="460">
        <f>DF124+DF125</f>
        <v>0</v>
      </c>
      <c r="DG123" s="461"/>
      <c r="DH123" s="461"/>
      <c r="DI123" s="461"/>
      <c r="DJ123" s="461"/>
      <c r="DK123" s="461"/>
      <c r="DL123" s="461"/>
      <c r="DM123" s="461"/>
      <c r="DN123" s="461"/>
      <c r="DO123" s="461"/>
      <c r="DP123" s="461"/>
      <c r="DQ123" s="461"/>
      <c r="DR123" s="462"/>
      <c r="DS123" s="460">
        <f>DS124+DS125</f>
        <v>0</v>
      </c>
      <c r="DT123" s="461"/>
      <c r="DU123" s="461"/>
      <c r="DV123" s="461"/>
      <c r="DW123" s="461"/>
      <c r="DX123" s="461"/>
      <c r="DY123" s="461"/>
      <c r="DZ123" s="461"/>
      <c r="EA123" s="461"/>
      <c r="EB123" s="461"/>
      <c r="EC123" s="461"/>
      <c r="ED123" s="461"/>
      <c r="EE123" s="462"/>
      <c r="EF123" s="460">
        <f>EF124+EF125</f>
        <v>0</v>
      </c>
      <c r="EG123" s="461"/>
      <c r="EH123" s="461"/>
      <c r="EI123" s="461"/>
      <c r="EJ123" s="461"/>
      <c r="EK123" s="461"/>
      <c r="EL123" s="461"/>
      <c r="EM123" s="461"/>
      <c r="EN123" s="461"/>
      <c r="EO123" s="461"/>
      <c r="EP123" s="461"/>
      <c r="EQ123" s="461"/>
      <c r="ER123" s="462"/>
      <c r="ES123" s="413" t="s">
        <v>43</v>
      </c>
      <c r="ET123" s="414"/>
      <c r="EU123" s="414"/>
      <c r="EV123" s="414"/>
      <c r="EW123" s="414"/>
      <c r="EX123" s="414"/>
      <c r="EY123" s="414"/>
      <c r="EZ123" s="414"/>
      <c r="FA123" s="414"/>
      <c r="FB123" s="414"/>
      <c r="FC123" s="414"/>
      <c r="FD123" s="414"/>
      <c r="FE123" s="415"/>
      <c r="FF123" s="278"/>
      <c r="FG123" s="101" t="s">
        <v>451</v>
      </c>
    </row>
    <row r="124" spans="1:162" ht="22.5" customHeight="1">
      <c r="A124" s="444" t="s">
        <v>179</v>
      </c>
      <c r="B124" s="445"/>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445"/>
      <c r="BL124" s="445"/>
      <c r="BM124" s="445"/>
      <c r="BN124" s="445"/>
      <c r="BO124" s="445"/>
      <c r="BP124" s="445"/>
      <c r="BQ124" s="445"/>
      <c r="BR124" s="445"/>
      <c r="BS124" s="445"/>
      <c r="BT124" s="445"/>
      <c r="BU124" s="445"/>
      <c r="BV124" s="445"/>
      <c r="BW124" s="445"/>
      <c r="BX124" s="428" t="s">
        <v>180</v>
      </c>
      <c r="BY124" s="429"/>
      <c r="BZ124" s="429"/>
      <c r="CA124" s="429"/>
      <c r="CB124" s="429"/>
      <c r="CC124" s="429"/>
      <c r="CD124" s="429"/>
      <c r="CE124" s="430"/>
      <c r="CF124" s="431"/>
      <c r="CG124" s="429"/>
      <c r="CH124" s="429"/>
      <c r="CI124" s="429"/>
      <c r="CJ124" s="429"/>
      <c r="CK124" s="429"/>
      <c r="CL124" s="429"/>
      <c r="CM124" s="429"/>
      <c r="CN124" s="429"/>
      <c r="CO124" s="429"/>
      <c r="CP124" s="429"/>
      <c r="CQ124" s="429"/>
      <c r="CR124" s="430"/>
      <c r="CS124" s="431"/>
      <c r="CT124" s="429"/>
      <c r="CU124" s="429"/>
      <c r="CV124" s="429"/>
      <c r="CW124" s="429"/>
      <c r="CX124" s="429"/>
      <c r="CY124" s="429"/>
      <c r="CZ124" s="429"/>
      <c r="DA124" s="429"/>
      <c r="DB124" s="429"/>
      <c r="DC124" s="429"/>
      <c r="DD124" s="429"/>
      <c r="DE124" s="430"/>
      <c r="DF124" s="457"/>
      <c r="DG124" s="458"/>
      <c r="DH124" s="458"/>
      <c r="DI124" s="458"/>
      <c r="DJ124" s="458"/>
      <c r="DK124" s="458"/>
      <c r="DL124" s="458"/>
      <c r="DM124" s="458"/>
      <c r="DN124" s="458"/>
      <c r="DO124" s="458"/>
      <c r="DP124" s="458"/>
      <c r="DQ124" s="458"/>
      <c r="DR124" s="459"/>
      <c r="DS124" s="457"/>
      <c r="DT124" s="458"/>
      <c r="DU124" s="458"/>
      <c r="DV124" s="458"/>
      <c r="DW124" s="458"/>
      <c r="DX124" s="458"/>
      <c r="DY124" s="458"/>
      <c r="DZ124" s="458"/>
      <c r="EA124" s="458"/>
      <c r="EB124" s="458"/>
      <c r="EC124" s="458"/>
      <c r="ED124" s="458"/>
      <c r="EE124" s="459"/>
      <c r="EF124" s="457"/>
      <c r="EG124" s="458"/>
      <c r="EH124" s="458"/>
      <c r="EI124" s="458"/>
      <c r="EJ124" s="458"/>
      <c r="EK124" s="458"/>
      <c r="EL124" s="458"/>
      <c r="EM124" s="458"/>
      <c r="EN124" s="458"/>
      <c r="EO124" s="458"/>
      <c r="EP124" s="458"/>
      <c r="EQ124" s="458"/>
      <c r="ER124" s="459"/>
      <c r="ES124" s="413" t="s">
        <v>43</v>
      </c>
      <c r="ET124" s="414"/>
      <c r="EU124" s="414"/>
      <c r="EV124" s="414"/>
      <c r="EW124" s="414"/>
      <c r="EX124" s="414"/>
      <c r="EY124" s="414"/>
      <c r="EZ124" s="414"/>
      <c r="FA124" s="414"/>
      <c r="FB124" s="414"/>
      <c r="FC124" s="414"/>
      <c r="FD124" s="414"/>
      <c r="FE124" s="415"/>
      <c r="FF124" s="278"/>
    </row>
    <row r="125" spans="1:162" ht="12.75" customHeight="1">
      <c r="A125" s="444" t="s">
        <v>181</v>
      </c>
      <c r="B125" s="445"/>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5"/>
      <c r="BA125" s="445"/>
      <c r="BB125" s="445"/>
      <c r="BC125" s="445"/>
      <c r="BD125" s="445"/>
      <c r="BE125" s="445"/>
      <c r="BF125" s="445"/>
      <c r="BG125" s="445"/>
      <c r="BH125" s="445"/>
      <c r="BI125" s="445"/>
      <c r="BJ125" s="445"/>
      <c r="BK125" s="445"/>
      <c r="BL125" s="445"/>
      <c r="BM125" s="445"/>
      <c r="BN125" s="445"/>
      <c r="BO125" s="445"/>
      <c r="BP125" s="445"/>
      <c r="BQ125" s="445"/>
      <c r="BR125" s="445"/>
      <c r="BS125" s="445"/>
      <c r="BT125" s="445"/>
      <c r="BU125" s="445"/>
      <c r="BV125" s="445"/>
      <c r="BW125" s="445"/>
      <c r="BX125" s="428" t="s">
        <v>182</v>
      </c>
      <c r="BY125" s="429"/>
      <c r="BZ125" s="429"/>
      <c r="CA125" s="429"/>
      <c r="CB125" s="429"/>
      <c r="CC125" s="429"/>
      <c r="CD125" s="429"/>
      <c r="CE125" s="430"/>
      <c r="CF125" s="431"/>
      <c r="CG125" s="429"/>
      <c r="CH125" s="429"/>
      <c r="CI125" s="429"/>
      <c r="CJ125" s="429"/>
      <c r="CK125" s="429"/>
      <c r="CL125" s="429"/>
      <c r="CM125" s="429"/>
      <c r="CN125" s="429"/>
      <c r="CO125" s="429"/>
      <c r="CP125" s="429"/>
      <c r="CQ125" s="429"/>
      <c r="CR125" s="430"/>
      <c r="CS125" s="431"/>
      <c r="CT125" s="429"/>
      <c r="CU125" s="429"/>
      <c r="CV125" s="429"/>
      <c r="CW125" s="429"/>
      <c r="CX125" s="429"/>
      <c r="CY125" s="429"/>
      <c r="CZ125" s="429"/>
      <c r="DA125" s="429"/>
      <c r="DB125" s="429"/>
      <c r="DC125" s="429"/>
      <c r="DD125" s="429"/>
      <c r="DE125" s="430"/>
      <c r="DF125" s="457"/>
      <c r="DG125" s="458"/>
      <c r="DH125" s="458"/>
      <c r="DI125" s="458"/>
      <c r="DJ125" s="458"/>
      <c r="DK125" s="458"/>
      <c r="DL125" s="458"/>
      <c r="DM125" s="458"/>
      <c r="DN125" s="458"/>
      <c r="DO125" s="458"/>
      <c r="DP125" s="458"/>
      <c r="DQ125" s="458"/>
      <c r="DR125" s="459"/>
      <c r="DS125" s="457"/>
      <c r="DT125" s="458"/>
      <c r="DU125" s="458"/>
      <c r="DV125" s="458"/>
      <c r="DW125" s="458"/>
      <c r="DX125" s="458"/>
      <c r="DY125" s="458"/>
      <c r="DZ125" s="458"/>
      <c r="EA125" s="458"/>
      <c r="EB125" s="458"/>
      <c r="EC125" s="458"/>
      <c r="ED125" s="458"/>
      <c r="EE125" s="459"/>
      <c r="EF125" s="457"/>
      <c r="EG125" s="458"/>
      <c r="EH125" s="458"/>
      <c r="EI125" s="458"/>
      <c r="EJ125" s="458"/>
      <c r="EK125" s="458"/>
      <c r="EL125" s="458"/>
      <c r="EM125" s="458"/>
      <c r="EN125" s="458"/>
      <c r="EO125" s="458"/>
      <c r="EP125" s="458"/>
      <c r="EQ125" s="458"/>
      <c r="ER125" s="459"/>
      <c r="ES125" s="413" t="s">
        <v>43</v>
      </c>
      <c r="ET125" s="414"/>
      <c r="EU125" s="414"/>
      <c r="EV125" s="414"/>
      <c r="EW125" s="414"/>
      <c r="EX125" s="414"/>
      <c r="EY125" s="414"/>
      <c r="EZ125" s="414"/>
      <c r="FA125" s="414"/>
      <c r="FB125" s="414"/>
      <c r="FC125" s="414"/>
      <c r="FD125" s="414"/>
      <c r="FE125" s="415"/>
      <c r="FF125" s="278"/>
    </row>
    <row r="126" spans="1:176" ht="12.75" customHeight="1">
      <c r="A126" s="444" t="s">
        <v>184</v>
      </c>
      <c r="B126" s="445"/>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5"/>
      <c r="BF126" s="445"/>
      <c r="BG126" s="445"/>
      <c r="BH126" s="445"/>
      <c r="BI126" s="445"/>
      <c r="BJ126" s="445"/>
      <c r="BK126" s="445"/>
      <c r="BL126" s="445"/>
      <c r="BM126" s="445"/>
      <c r="BN126" s="445"/>
      <c r="BO126" s="445"/>
      <c r="BP126" s="445"/>
      <c r="BQ126" s="445"/>
      <c r="BR126" s="445"/>
      <c r="BS126" s="445"/>
      <c r="BT126" s="445"/>
      <c r="BU126" s="445"/>
      <c r="BV126" s="445"/>
      <c r="BW126" s="445"/>
      <c r="BX126" s="428" t="s">
        <v>183</v>
      </c>
      <c r="BY126" s="429"/>
      <c r="BZ126" s="429"/>
      <c r="CA126" s="429"/>
      <c r="CB126" s="429"/>
      <c r="CC126" s="429"/>
      <c r="CD126" s="429"/>
      <c r="CE126" s="430"/>
      <c r="CF126" s="431"/>
      <c r="CG126" s="429"/>
      <c r="CH126" s="429"/>
      <c r="CI126" s="429"/>
      <c r="CJ126" s="429"/>
      <c r="CK126" s="429"/>
      <c r="CL126" s="429"/>
      <c r="CM126" s="429"/>
      <c r="CN126" s="429"/>
      <c r="CO126" s="429"/>
      <c r="CP126" s="429"/>
      <c r="CQ126" s="429"/>
      <c r="CR126" s="430"/>
      <c r="CS126" s="431"/>
      <c r="CT126" s="429"/>
      <c r="CU126" s="429"/>
      <c r="CV126" s="429"/>
      <c r="CW126" s="429"/>
      <c r="CX126" s="429"/>
      <c r="CY126" s="429"/>
      <c r="CZ126" s="429"/>
      <c r="DA126" s="429"/>
      <c r="DB126" s="429"/>
      <c r="DC126" s="429"/>
      <c r="DD126" s="429"/>
      <c r="DE126" s="430"/>
      <c r="DF126" s="413"/>
      <c r="DG126" s="414"/>
      <c r="DH126" s="414"/>
      <c r="DI126" s="414"/>
      <c r="DJ126" s="414"/>
      <c r="DK126" s="414"/>
      <c r="DL126" s="414"/>
      <c r="DM126" s="414"/>
      <c r="DN126" s="414"/>
      <c r="DO126" s="414"/>
      <c r="DP126" s="414"/>
      <c r="DQ126" s="414"/>
      <c r="DR126" s="450"/>
      <c r="DS126" s="413"/>
      <c r="DT126" s="414"/>
      <c r="DU126" s="414"/>
      <c r="DV126" s="414"/>
      <c r="DW126" s="414"/>
      <c r="DX126" s="414"/>
      <c r="DY126" s="414"/>
      <c r="DZ126" s="414"/>
      <c r="EA126" s="414"/>
      <c r="EB126" s="414"/>
      <c r="EC126" s="414"/>
      <c r="ED126" s="414"/>
      <c r="EE126" s="450"/>
      <c r="EF126" s="413"/>
      <c r="EG126" s="414"/>
      <c r="EH126" s="414"/>
      <c r="EI126" s="414"/>
      <c r="EJ126" s="414"/>
      <c r="EK126" s="414"/>
      <c r="EL126" s="414"/>
      <c r="EM126" s="414"/>
      <c r="EN126" s="414"/>
      <c r="EO126" s="414"/>
      <c r="EP126" s="414"/>
      <c r="EQ126" s="414"/>
      <c r="ER126" s="450"/>
      <c r="ES126" s="413" t="s">
        <v>43</v>
      </c>
      <c r="ET126" s="414"/>
      <c r="EU126" s="414"/>
      <c r="EV126" s="414"/>
      <c r="EW126" s="414"/>
      <c r="EX126" s="414"/>
      <c r="EY126" s="414"/>
      <c r="EZ126" s="414"/>
      <c r="FA126" s="414"/>
      <c r="FB126" s="414"/>
      <c r="FC126" s="414"/>
      <c r="FD126" s="414"/>
      <c r="FE126" s="415"/>
      <c r="FF126" s="278"/>
      <c r="FR126" s="128"/>
      <c r="FS126" s="127"/>
      <c r="FT126" s="26"/>
    </row>
    <row r="127" spans="1:176" ht="12.75" customHeight="1">
      <c r="A127" s="451" t="s">
        <v>185</v>
      </c>
      <c r="B127" s="452"/>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3" t="s">
        <v>186</v>
      </c>
      <c r="BY127" s="454"/>
      <c r="BZ127" s="454"/>
      <c r="CA127" s="454"/>
      <c r="CB127" s="454"/>
      <c r="CC127" s="454"/>
      <c r="CD127" s="454"/>
      <c r="CE127" s="455"/>
      <c r="CF127" s="456" t="s">
        <v>43</v>
      </c>
      <c r="CG127" s="454"/>
      <c r="CH127" s="454"/>
      <c r="CI127" s="454"/>
      <c r="CJ127" s="454"/>
      <c r="CK127" s="454"/>
      <c r="CL127" s="454"/>
      <c r="CM127" s="454"/>
      <c r="CN127" s="454"/>
      <c r="CO127" s="454"/>
      <c r="CP127" s="454"/>
      <c r="CQ127" s="454"/>
      <c r="CR127" s="455"/>
      <c r="CS127" s="431"/>
      <c r="CT127" s="429"/>
      <c r="CU127" s="429"/>
      <c r="CV127" s="429"/>
      <c r="CW127" s="429"/>
      <c r="CX127" s="429"/>
      <c r="CY127" s="429"/>
      <c r="CZ127" s="429"/>
      <c r="DA127" s="429"/>
      <c r="DB127" s="429"/>
      <c r="DC127" s="429"/>
      <c r="DD127" s="429"/>
      <c r="DE127" s="430"/>
      <c r="DF127" s="413"/>
      <c r="DG127" s="414"/>
      <c r="DH127" s="414"/>
      <c r="DI127" s="414"/>
      <c r="DJ127" s="414"/>
      <c r="DK127" s="414"/>
      <c r="DL127" s="414"/>
      <c r="DM127" s="414"/>
      <c r="DN127" s="414"/>
      <c r="DO127" s="414"/>
      <c r="DP127" s="414"/>
      <c r="DQ127" s="414"/>
      <c r="DR127" s="450"/>
      <c r="DS127" s="413"/>
      <c r="DT127" s="414"/>
      <c r="DU127" s="414"/>
      <c r="DV127" s="414"/>
      <c r="DW127" s="414"/>
      <c r="DX127" s="414"/>
      <c r="DY127" s="414"/>
      <c r="DZ127" s="414"/>
      <c r="EA127" s="414"/>
      <c r="EB127" s="414"/>
      <c r="EC127" s="414"/>
      <c r="ED127" s="414"/>
      <c r="EE127" s="450"/>
      <c r="EF127" s="413"/>
      <c r="EG127" s="414"/>
      <c r="EH127" s="414"/>
      <c r="EI127" s="414"/>
      <c r="EJ127" s="414"/>
      <c r="EK127" s="414"/>
      <c r="EL127" s="414"/>
      <c r="EM127" s="414"/>
      <c r="EN127" s="414"/>
      <c r="EO127" s="414"/>
      <c r="EP127" s="414"/>
      <c r="EQ127" s="414"/>
      <c r="ER127" s="450"/>
      <c r="ES127" s="413" t="s">
        <v>43</v>
      </c>
      <c r="ET127" s="414"/>
      <c r="EU127" s="414"/>
      <c r="EV127" s="414"/>
      <c r="EW127" s="414"/>
      <c r="EX127" s="414"/>
      <c r="EY127" s="414"/>
      <c r="EZ127" s="414"/>
      <c r="FA127" s="414"/>
      <c r="FB127" s="414"/>
      <c r="FC127" s="414"/>
      <c r="FD127" s="414"/>
      <c r="FE127" s="415"/>
      <c r="FF127" s="278"/>
      <c r="FR127" s="128"/>
      <c r="FS127" s="127"/>
      <c r="FT127" s="26"/>
    </row>
    <row r="128" spans="1:176" ht="22.5" customHeight="1">
      <c r="A128" s="444" t="s">
        <v>187</v>
      </c>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5"/>
      <c r="BR128" s="445"/>
      <c r="BS128" s="445"/>
      <c r="BT128" s="445"/>
      <c r="BU128" s="445"/>
      <c r="BV128" s="445"/>
      <c r="BW128" s="445"/>
      <c r="BX128" s="428" t="s">
        <v>188</v>
      </c>
      <c r="BY128" s="429"/>
      <c r="BZ128" s="429"/>
      <c r="CA128" s="429"/>
      <c r="CB128" s="429"/>
      <c r="CC128" s="429"/>
      <c r="CD128" s="429"/>
      <c r="CE128" s="430"/>
      <c r="CF128" s="431" t="s">
        <v>189</v>
      </c>
      <c r="CG128" s="429"/>
      <c r="CH128" s="429"/>
      <c r="CI128" s="429"/>
      <c r="CJ128" s="429"/>
      <c r="CK128" s="429"/>
      <c r="CL128" s="429"/>
      <c r="CM128" s="429"/>
      <c r="CN128" s="429"/>
      <c r="CO128" s="429"/>
      <c r="CP128" s="429"/>
      <c r="CQ128" s="429"/>
      <c r="CR128" s="430"/>
      <c r="CS128" s="431"/>
      <c r="CT128" s="429"/>
      <c r="CU128" s="429"/>
      <c r="CV128" s="429"/>
      <c r="CW128" s="429"/>
      <c r="CX128" s="429"/>
      <c r="CY128" s="429"/>
      <c r="CZ128" s="429"/>
      <c r="DA128" s="429"/>
      <c r="DB128" s="429"/>
      <c r="DC128" s="429"/>
      <c r="DD128" s="429"/>
      <c r="DE128" s="430"/>
      <c r="DF128" s="413"/>
      <c r="DG128" s="414"/>
      <c r="DH128" s="414"/>
      <c r="DI128" s="414"/>
      <c r="DJ128" s="414"/>
      <c r="DK128" s="414"/>
      <c r="DL128" s="414"/>
      <c r="DM128" s="414"/>
      <c r="DN128" s="414"/>
      <c r="DO128" s="414"/>
      <c r="DP128" s="414"/>
      <c r="DQ128" s="414"/>
      <c r="DR128" s="450"/>
      <c r="DS128" s="413"/>
      <c r="DT128" s="414"/>
      <c r="DU128" s="414"/>
      <c r="DV128" s="414"/>
      <c r="DW128" s="414"/>
      <c r="DX128" s="414"/>
      <c r="DY128" s="414"/>
      <c r="DZ128" s="414"/>
      <c r="EA128" s="414"/>
      <c r="EB128" s="414"/>
      <c r="EC128" s="414"/>
      <c r="ED128" s="414"/>
      <c r="EE128" s="450"/>
      <c r="EF128" s="413"/>
      <c r="EG128" s="414"/>
      <c r="EH128" s="414"/>
      <c r="EI128" s="414"/>
      <c r="EJ128" s="414"/>
      <c r="EK128" s="414"/>
      <c r="EL128" s="414"/>
      <c r="EM128" s="414"/>
      <c r="EN128" s="414"/>
      <c r="EO128" s="414"/>
      <c r="EP128" s="414"/>
      <c r="EQ128" s="414"/>
      <c r="ER128" s="450"/>
      <c r="ES128" s="413" t="s">
        <v>43</v>
      </c>
      <c r="ET128" s="414"/>
      <c r="EU128" s="414"/>
      <c r="EV128" s="414"/>
      <c r="EW128" s="414"/>
      <c r="EX128" s="414"/>
      <c r="EY128" s="414"/>
      <c r="EZ128" s="414"/>
      <c r="FA128" s="414"/>
      <c r="FB128" s="414"/>
      <c r="FC128" s="414"/>
      <c r="FD128" s="414"/>
      <c r="FE128" s="415"/>
      <c r="FF128" s="278"/>
      <c r="FR128" s="128"/>
      <c r="FS128" s="127"/>
      <c r="FT128" s="26"/>
    </row>
    <row r="129" spans="1:176" ht="11.25" customHeight="1" thickBot="1">
      <c r="A129" s="444"/>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5"/>
      <c r="BF129" s="445"/>
      <c r="BG129" s="445"/>
      <c r="BH129" s="445"/>
      <c r="BI129" s="445"/>
      <c r="BJ129" s="445"/>
      <c r="BK129" s="445"/>
      <c r="BL129" s="445"/>
      <c r="BM129" s="445"/>
      <c r="BN129" s="445"/>
      <c r="BO129" s="445"/>
      <c r="BP129" s="445"/>
      <c r="BQ129" s="445"/>
      <c r="BR129" s="445"/>
      <c r="BS129" s="445"/>
      <c r="BT129" s="445"/>
      <c r="BU129" s="445"/>
      <c r="BV129" s="445"/>
      <c r="BW129" s="445"/>
      <c r="BX129" s="446"/>
      <c r="BY129" s="447"/>
      <c r="BZ129" s="447"/>
      <c r="CA129" s="447"/>
      <c r="CB129" s="447"/>
      <c r="CC129" s="447"/>
      <c r="CD129" s="447"/>
      <c r="CE129" s="448"/>
      <c r="CF129" s="449"/>
      <c r="CG129" s="447"/>
      <c r="CH129" s="447"/>
      <c r="CI129" s="447"/>
      <c r="CJ129" s="447"/>
      <c r="CK129" s="447"/>
      <c r="CL129" s="447"/>
      <c r="CM129" s="447"/>
      <c r="CN129" s="447"/>
      <c r="CO129" s="447"/>
      <c r="CP129" s="447"/>
      <c r="CQ129" s="447"/>
      <c r="CR129" s="448"/>
      <c r="CS129" s="449"/>
      <c r="CT129" s="447"/>
      <c r="CU129" s="447"/>
      <c r="CV129" s="447"/>
      <c r="CW129" s="447"/>
      <c r="CX129" s="447"/>
      <c r="CY129" s="447"/>
      <c r="CZ129" s="447"/>
      <c r="DA129" s="447"/>
      <c r="DB129" s="447"/>
      <c r="DC129" s="447"/>
      <c r="DD129" s="447"/>
      <c r="DE129" s="448"/>
      <c r="DF129" s="440"/>
      <c r="DG129" s="441"/>
      <c r="DH129" s="441"/>
      <c r="DI129" s="441"/>
      <c r="DJ129" s="441"/>
      <c r="DK129" s="441"/>
      <c r="DL129" s="441"/>
      <c r="DM129" s="441"/>
      <c r="DN129" s="441"/>
      <c r="DO129" s="441"/>
      <c r="DP129" s="441"/>
      <c r="DQ129" s="441"/>
      <c r="DR129" s="442"/>
      <c r="DS129" s="440"/>
      <c r="DT129" s="441"/>
      <c r="DU129" s="441"/>
      <c r="DV129" s="441"/>
      <c r="DW129" s="441"/>
      <c r="DX129" s="441"/>
      <c r="DY129" s="441"/>
      <c r="DZ129" s="441"/>
      <c r="EA129" s="441"/>
      <c r="EB129" s="441"/>
      <c r="EC129" s="441"/>
      <c r="ED129" s="441"/>
      <c r="EE129" s="442"/>
      <c r="EF129" s="440"/>
      <c r="EG129" s="441"/>
      <c r="EH129" s="441"/>
      <c r="EI129" s="441"/>
      <c r="EJ129" s="441"/>
      <c r="EK129" s="441"/>
      <c r="EL129" s="441"/>
      <c r="EM129" s="441"/>
      <c r="EN129" s="441"/>
      <c r="EO129" s="441"/>
      <c r="EP129" s="441"/>
      <c r="EQ129" s="441"/>
      <c r="ER129" s="442"/>
      <c r="ES129" s="440"/>
      <c r="ET129" s="441"/>
      <c r="EU129" s="441"/>
      <c r="EV129" s="441"/>
      <c r="EW129" s="441"/>
      <c r="EX129" s="441"/>
      <c r="EY129" s="441"/>
      <c r="EZ129" s="441"/>
      <c r="FA129" s="441"/>
      <c r="FB129" s="441"/>
      <c r="FC129" s="441"/>
      <c r="FD129" s="441"/>
      <c r="FE129" s="443"/>
      <c r="FF129" s="278"/>
      <c r="FR129" s="128"/>
      <c r="FS129" s="127"/>
      <c r="FT129" s="26"/>
    </row>
    <row r="130" spans="174:175" ht="3" customHeight="1">
      <c r="FR130" s="128"/>
      <c r="FS130" s="127"/>
    </row>
    <row r="131" spans="1:176" s="287" customFormat="1" ht="11.25" customHeight="1">
      <c r="A131" s="25" t="s">
        <v>256</v>
      </c>
      <c r="FG131" s="100"/>
      <c r="FR131" s="128"/>
      <c r="FS131" s="127"/>
      <c r="FT131" s="129"/>
    </row>
    <row r="132" spans="1:176" s="287" customFormat="1" ht="11.25" customHeight="1">
      <c r="A132" s="25" t="s">
        <v>257</v>
      </c>
      <c r="FG132" s="100"/>
      <c r="FR132" s="128"/>
      <c r="FS132" s="127"/>
      <c r="FT132" s="129"/>
    </row>
    <row r="133" spans="1:176" s="287" customFormat="1" ht="11.25" customHeight="1">
      <c r="A133" s="25" t="s">
        <v>258</v>
      </c>
      <c r="FG133" s="100"/>
      <c r="FS133" s="130"/>
      <c r="FT133" s="129"/>
    </row>
    <row r="134" spans="1:176" s="287" customFormat="1" ht="10.5" customHeight="1">
      <c r="A134" s="25" t="s">
        <v>259</v>
      </c>
      <c r="FG134" s="100"/>
      <c r="FS134" s="131"/>
      <c r="FT134" s="129"/>
    </row>
    <row r="135" spans="1:163" s="287" customFormat="1" ht="10.5" customHeight="1">
      <c r="A135" s="25" t="s">
        <v>260</v>
      </c>
      <c r="FG135" s="100"/>
    </row>
    <row r="136" spans="1:163" s="287" customFormat="1" ht="10.5" customHeight="1">
      <c r="A136" s="25" t="s">
        <v>261</v>
      </c>
      <c r="FG136" s="100"/>
    </row>
    <row r="137" spans="1:163" s="287" customFormat="1" ht="19.5" customHeight="1">
      <c r="A137" s="439" t="s">
        <v>262</v>
      </c>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c r="BY137" s="439"/>
      <c r="BZ137" s="439"/>
      <c r="CA137" s="439"/>
      <c r="CB137" s="439"/>
      <c r="CC137" s="439"/>
      <c r="CD137" s="439"/>
      <c r="CE137" s="439"/>
      <c r="CF137" s="439"/>
      <c r="CG137" s="439"/>
      <c r="CH137" s="439"/>
      <c r="CI137" s="439"/>
      <c r="CJ137" s="439"/>
      <c r="CK137" s="439"/>
      <c r="CL137" s="439"/>
      <c r="CM137" s="439"/>
      <c r="CN137" s="439"/>
      <c r="CO137" s="439"/>
      <c r="CP137" s="439"/>
      <c r="CQ137" s="439"/>
      <c r="CR137" s="439"/>
      <c r="CS137" s="439"/>
      <c r="CT137" s="439"/>
      <c r="CU137" s="439"/>
      <c r="CV137" s="439"/>
      <c r="CW137" s="439"/>
      <c r="CX137" s="439"/>
      <c r="CY137" s="439"/>
      <c r="CZ137" s="439"/>
      <c r="DA137" s="439"/>
      <c r="DB137" s="439"/>
      <c r="DC137" s="439"/>
      <c r="DD137" s="439"/>
      <c r="DE137" s="439"/>
      <c r="DF137" s="439"/>
      <c r="DG137" s="439"/>
      <c r="DH137" s="439"/>
      <c r="DI137" s="439"/>
      <c r="DJ137" s="439"/>
      <c r="DK137" s="439"/>
      <c r="DL137" s="439"/>
      <c r="DM137" s="439"/>
      <c r="DN137" s="439"/>
      <c r="DO137" s="439"/>
      <c r="DP137" s="439"/>
      <c r="DQ137" s="439"/>
      <c r="DR137" s="439"/>
      <c r="DS137" s="439"/>
      <c r="DT137" s="439"/>
      <c r="DU137" s="439"/>
      <c r="DV137" s="439"/>
      <c r="DW137" s="439"/>
      <c r="DX137" s="439"/>
      <c r="DY137" s="439"/>
      <c r="DZ137" s="439"/>
      <c r="EA137" s="439"/>
      <c r="EB137" s="439"/>
      <c r="EC137" s="439"/>
      <c r="ED137" s="439"/>
      <c r="EE137" s="439"/>
      <c r="EF137" s="439"/>
      <c r="EG137" s="439"/>
      <c r="EH137" s="439"/>
      <c r="EI137" s="439"/>
      <c r="EJ137" s="439"/>
      <c r="EK137" s="439"/>
      <c r="EL137" s="439"/>
      <c r="EM137" s="439"/>
      <c r="EN137" s="439"/>
      <c r="EO137" s="439"/>
      <c r="EP137" s="439"/>
      <c r="EQ137" s="439"/>
      <c r="ER137" s="439"/>
      <c r="ES137" s="439"/>
      <c r="ET137" s="439"/>
      <c r="EU137" s="439"/>
      <c r="EV137" s="439"/>
      <c r="EW137" s="439"/>
      <c r="EX137" s="439"/>
      <c r="EY137" s="439"/>
      <c r="EZ137" s="439"/>
      <c r="FA137" s="439"/>
      <c r="FB137" s="439"/>
      <c r="FC137" s="439"/>
      <c r="FD137" s="439"/>
      <c r="FE137" s="439"/>
      <c r="FF137" s="168"/>
      <c r="FG137" s="100"/>
    </row>
    <row r="138" spans="1:163" s="287" customFormat="1" ht="10.5" customHeight="1">
      <c r="A138" s="25" t="s">
        <v>263</v>
      </c>
      <c r="FG138" s="100"/>
    </row>
    <row r="139" spans="1:163" s="287" customFormat="1" ht="30" customHeight="1">
      <c r="A139" s="439" t="s">
        <v>264</v>
      </c>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39"/>
      <c r="AY139" s="439"/>
      <c r="AZ139" s="439"/>
      <c r="BA139" s="439"/>
      <c r="BB139" s="439"/>
      <c r="BC139" s="439"/>
      <c r="BD139" s="439"/>
      <c r="BE139" s="439"/>
      <c r="BF139" s="439"/>
      <c r="BG139" s="439"/>
      <c r="BH139" s="439"/>
      <c r="BI139" s="439"/>
      <c r="BJ139" s="439"/>
      <c r="BK139" s="439"/>
      <c r="BL139" s="439"/>
      <c r="BM139" s="439"/>
      <c r="BN139" s="439"/>
      <c r="BO139" s="439"/>
      <c r="BP139" s="439"/>
      <c r="BQ139" s="439"/>
      <c r="BR139" s="439"/>
      <c r="BS139" s="439"/>
      <c r="BT139" s="439"/>
      <c r="BU139" s="439"/>
      <c r="BV139" s="439"/>
      <c r="BW139" s="439"/>
      <c r="BX139" s="439"/>
      <c r="BY139" s="439"/>
      <c r="BZ139" s="439"/>
      <c r="CA139" s="439"/>
      <c r="CB139" s="439"/>
      <c r="CC139" s="439"/>
      <c r="CD139" s="439"/>
      <c r="CE139" s="439"/>
      <c r="CF139" s="439"/>
      <c r="CG139" s="439"/>
      <c r="CH139" s="439"/>
      <c r="CI139" s="439"/>
      <c r="CJ139" s="439"/>
      <c r="CK139" s="439"/>
      <c r="CL139" s="439"/>
      <c r="CM139" s="439"/>
      <c r="CN139" s="439"/>
      <c r="CO139" s="439"/>
      <c r="CP139" s="439"/>
      <c r="CQ139" s="439"/>
      <c r="CR139" s="439"/>
      <c r="CS139" s="439"/>
      <c r="CT139" s="439"/>
      <c r="CU139" s="439"/>
      <c r="CV139" s="439"/>
      <c r="CW139" s="439"/>
      <c r="CX139" s="439"/>
      <c r="CY139" s="439"/>
      <c r="CZ139" s="439"/>
      <c r="DA139" s="439"/>
      <c r="DB139" s="439"/>
      <c r="DC139" s="439"/>
      <c r="DD139" s="439"/>
      <c r="DE139" s="439"/>
      <c r="DF139" s="439"/>
      <c r="DG139" s="439"/>
      <c r="DH139" s="439"/>
      <c r="DI139" s="439"/>
      <c r="DJ139" s="439"/>
      <c r="DK139" s="439"/>
      <c r="DL139" s="439"/>
      <c r="DM139" s="439"/>
      <c r="DN139" s="439"/>
      <c r="DO139" s="439"/>
      <c r="DP139" s="439"/>
      <c r="DQ139" s="439"/>
      <c r="DR139" s="439"/>
      <c r="DS139" s="439"/>
      <c r="DT139" s="439"/>
      <c r="DU139" s="439"/>
      <c r="DV139" s="439"/>
      <c r="DW139" s="439"/>
      <c r="DX139" s="439"/>
      <c r="DY139" s="439"/>
      <c r="DZ139" s="439"/>
      <c r="EA139" s="439"/>
      <c r="EB139" s="439"/>
      <c r="EC139" s="439"/>
      <c r="ED139" s="439"/>
      <c r="EE139" s="439"/>
      <c r="EF139" s="439"/>
      <c r="EG139" s="439"/>
      <c r="EH139" s="439"/>
      <c r="EI139" s="439"/>
      <c r="EJ139" s="439"/>
      <c r="EK139" s="439"/>
      <c r="EL139" s="439"/>
      <c r="EM139" s="439"/>
      <c r="EN139" s="439"/>
      <c r="EO139" s="439"/>
      <c r="EP139" s="439"/>
      <c r="EQ139" s="439"/>
      <c r="ER139" s="439"/>
      <c r="ES139" s="439"/>
      <c r="ET139" s="439"/>
      <c r="EU139" s="439"/>
      <c r="EV139" s="439"/>
      <c r="EW139" s="439"/>
      <c r="EX139" s="439"/>
      <c r="EY139" s="439"/>
      <c r="EZ139" s="439"/>
      <c r="FA139" s="439"/>
      <c r="FB139" s="439"/>
      <c r="FC139" s="439"/>
      <c r="FD139" s="439"/>
      <c r="FE139" s="439"/>
      <c r="FF139" s="168"/>
      <c r="FG139" s="100"/>
    </row>
    <row r="140" spans="1:163" s="287" customFormat="1" ht="19.5" customHeight="1">
      <c r="A140" s="439" t="s">
        <v>265</v>
      </c>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39"/>
      <c r="AE140" s="439"/>
      <c r="AF140" s="439"/>
      <c r="AG140" s="439"/>
      <c r="AH140" s="439"/>
      <c r="AI140" s="439"/>
      <c r="AJ140" s="439"/>
      <c r="AK140" s="439"/>
      <c r="AL140" s="439"/>
      <c r="AM140" s="439"/>
      <c r="AN140" s="439"/>
      <c r="AO140" s="439"/>
      <c r="AP140" s="439"/>
      <c r="AQ140" s="439"/>
      <c r="AR140" s="439"/>
      <c r="AS140" s="439"/>
      <c r="AT140" s="439"/>
      <c r="AU140" s="439"/>
      <c r="AV140" s="439"/>
      <c r="AW140" s="439"/>
      <c r="AX140" s="439"/>
      <c r="AY140" s="439"/>
      <c r="AZ140" s="439"/>
      <c r="BA140" s="439"/>
      <c r="BB140" s="439"/>
      <c r="BC140" s="439"/>
      <c r="BD140" s="439"/>
      <c r="BE140" s="439"/>
      <c r="BF140" s="439"/>
      <c r="BG140" s="439"/>
      <c r="BH140" s="439"/>
      <c r="BI140" s="439"/>
      <c r="BJ140" s="439"/>
      <c r="BK140" s="439"/>
      <c r="BL140" s="439"/>
      <c r="BM140" s="439"/>
      <c r="BN140" s="439"/>
      <c r="BO140" s="439"/>
      <c r="BP140" s="439"/>
      <c r="BQ140" s="439"/>
      <c r="BR140" s="439"/>
      <c r="BS140" s="439"/>
      <c r="BT140" s="439"/>
      <c r="BU140" s="439"/>
      <c r="BV140" s="439"/>
      <c r="BW140" s="439"/>
      <c r="BX140" s="439"/>
      <c r="BY140" s="439"/>
      <c r="BZ140" s="439"/>
      <c r="CA140" s="439"/>
      <c r="CB140" s="439"/>
      <c r="CC140" s="439"/>
      <c r="CD140" s="439"/>
      <c r="CE140" s="439"/>
      <c r="CF140" s="439"/>
      <c r="CG140" s="439"/>
      <c r="CH140" s="439"/>
      <c r="CI140" s="439"/>
      <c r="CJ140" s="439"/>
      <c r="CK140" s="439"/>
      <c r="CL140" s="439"/>
      <c r="CM140" s="439"/>
      <c r="CN140" s="439"/>
      <c r="CO140" s="439"/>
      <c r="CP140" s="439"/>
      <c r="CQ140" s="439"/>
      <c r="CR140" s="439"/>
      <c r="CS140" s="439"/>
      <c r="CT140" s="439"/>
      <c r="CU140" s="439"/>
      <c r="CV140" s="439"/>
      <c r="CW140" s="439"/>
      <c r="CX140" s="439"/>
      <c r="CY140" s="439"/>
      <c r="CZ140" s="439"/>
      <c r="DA140" s="439"/>
      <c r="DB140" s="439"/>
      <c r="DC140" s="439"/>
      <c r="DD140" s="439"/>
      <c r="DE140" s="439"/>
      <c r="DF140" s="439"/>
      <c r="DG140" s="439"/>
      <c r="DH140" s="439"/>
      <c r="DI140" s="439"/>
      <c r="DJ140" s="439"/>
      <c r="DK140" s="439"/>
      <c r="DL140" s="439"/>
      <c r="DM140" s="439"/>
      <c r="DN140" s="439"/>
      <c r="DO140" s="439"/>
      <c r="DP140" s="439"/>
      <c r="DQ140" s="439"/>
      <c r="DR140" s="439"/>
      <c r="DS140" s="439"/>
      <c r="DT140" s="439"/>
      <c r="DU140" s="439"/>
      <c r="DV140" s="439"/>
      <c r="DW140" s="439"/>
      <c r="DX140" s="439"/>
      <c r="DY140" s="439"/>
      <c r="DZ140" s="439"/>
      <c r="EA140" s="439"/>
      <c r="EB140" s="439"/>
      <c r="EC140" s="439"/>
      <c r="ED140" s="439"/>
      <c r="EE140" s="439"/>
      <c r="EF140" s="439"/>
      <c r="EG140" s="439"/>
      <c r="EH140" s="439"/>
      <c r="EI140" s="439"/>
      <c r="EJ140" s="439"/>
      <c r="EK140" s="439"/>
      <c r="EL140" s="439"/>
      <c r="EM140" s="439"/>
      <c r="EN140" s="439"/>
      <c r="EO140" s="439"/>
      <c r="EP140" s="439"/>
      <c r="EQ140" s="439"/>
      <c r="ER140" s="439"/>
      <c r="ES140" s="439"/>
      <c r="ET140" s="439"/>
      <c r="EU140" s="439"/>
      <c r="EV140" s="439"/>
      <c r="EW140" s="439"/>
      <c r="EX140" s="439"/>
      <c r="EY140" s="439"/>
      <c r="EZ140" s="439"/>
      <c r="FA140" s="439"/>
      <c r="FB140" s="439"/>
      <c r="FC140" s="439"/>
      <c r="FD140" s="439"/>
      <c r="FE140" s="439"/>
      <c r="FF140" s="168"/>
      <c r="FG140" s="100"/>
    </row>
    <row r="141" spans="1:163" s="287" customFormat="1" ht="30" customHeight="1">
      <c r="A141" s="439" t="s">
        <v>266</v>
      </c>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c r="BU141" s="439"/>
      <c r="BV141" s="439"/>
      <c r="BW141" s="439"/>
      <c r="BX141" s="439"/>
      <c r="BY141" s="439"/>
      <c r="BZ141" s="439"/>
      <c r="CA141" s="439"/>
      <c r="CB141" s="439"/>
      <c r="CC141" s="439"/>
      <c r="CD141" s="439"/>
      <c r="CE141" s="439"/>
      <c r="CF141" s="439"/>
      <c r="CG141" s="439"/>
      <c r="CH141" s="439"/>
      <c r="CI141" s="439"/>
      <c r="CJ141" s="439"/>
      <c r="CK141" s="439"/>
      <c r="CL141" s="439"/>
      <c r="CM141" s="439"/>
      <c r="CN141" s="439"/>
      <c r="CO141" s="439"/>
      <c r="CP141" s="439"/>
      <c r="CQ141" s="439"/>
      <c r="CR141" s="439"/>
      <c r="CS141" s="439"/>
      <c r="CT141" s="439"/>
      <c r="CU141" s="439"/>
      <c r="CV141" s="439"/>
      <c r="CW141" s="439"/>
      <c r="CX141" s="439"/>
      <c r="CY141" s="439"/>
      <c r="CZ141" s="439"/>
      <c r="DA141" s="439"/>
      <c r="DB141" s="439"/>
      <c r="DC141" s="439"/>
      <c r="DD141" s="439"/>
      <c r="DE141" s="439"/>
      <c r="DF141" s="439"/>
      <c r="DG141" s="439"/>
      <c r="DH141" s="439"/>
      <c r="DI141" s="439"/>
      <c r="DJ141" s="439"/>
      <c r="DK141" s="439"/>
      <c r="DL141" s="439"/>
      <c r="DM141" s="439"/>
      <c r="DN141" s="439"/>
      <c r="DO141" s="439"/>
      <c r="DP141" s="439"/>
      <c r="DQ141" s="439"/>
      <c r="DR141" s="439"/>
      <c r="DS141" s="439"/>
      <c r="DT141" s="439"/>
      <c r="DU141" s="439"/>
      <c r="DV141" s="439"/>
      <c r="DW141" s="439"/>
      <c r="DX141" s="439"/>
      <c r="DY141" s="439"/>
      <c r="DZ141" s="439"/>
      <c r="EA141" s="439"/>
      <c r="EB141" s="439"/>
      <c r="EC141" s="439"/>
      <c r="ED141" s="439"/>
      <c r="EE141" s="439"/>
      <c r="EF141" s="439"/>
      <c r="EG141" s="439"/>
      <c r="EH141" s="439"/>
      <c r="EI141" s="439"/>
      <c r="EJ141" s="439"/>
      <c r="EK141" s="439"/>
      <c r="EL141" s="439"/>
      <c r="EM141" s="439"/>
      <c r="EN141" s="439"/>
      <c r="EO141" s="439"/>
      <c r="EP141" s="439"/>
      <c r="EQ141" s="439"/>
      <c r="ER141" s="439"/>
      <c r="ES141" s="439"/>
      <c r="ET141" s="439"/>
      <c r="EU141" s="439"/>
      <c r="EV141" s="439"/>
      <c r="EW141" s="439"/>
      <c r="EX141" s="439"/>
      <c r="EY141" s="439"/>
      <c r="EZ141" s="439"/>
      <c r="FA141" s="439"/>
      <c r="FB141" s="439"/>
      <c r="FC141" s="439"/>
      <c r="FD141" s="439"/>
      <c r="FE141" s="439"/>
      <c r="FF141" s="168"/>
      <c r="FG141" s="100"/>
    </row>
    <row r="142" spans="1:161" s="287" customFormat="1" ht="12.75" customHeight="1">
      <c r="A142" s="375" t="s">
        <v>605</v>
      </c>
      <c r="B142" s="375"/>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5"/>
      <c r="BM142" s="375"/>
      <c r="BN142" s="375"/>
      <c r="BO142" s="375"/>
      <c r="BP142" s="375"/>
      <c r="BQ142" s="375"/>
      <c r="BR142" s="375"/>
      <c r="BS142" s="375"/>
      <c r="BT142" s="375"/>
      <c r="BU142" s="375"/>
      <c r="BV142" s="375"/>
      <c r="BW142" s="375"/>
      <c r="BX142" s="375"/>
      <c r="BY142" s="375"/>
      <c r="BZ142" s="375"/>
      <c r="CA142" s="375"/>
      <c r="CB142" s="375"/>
      <c r="CC142" s="375"/>
      <c r="CD142" s="375"/>
      <c r="CE142" s="375"/>
      <c r="CF142" s="375"/>
      <c r="CG142" s="375"/>
      <c r="CH142" s="375"/>
      <c r="CI142" s="375"/>
      <c r="CJ142" s="375"/>
      <c r="CK142" s="375"/>
      <c r="CL142" s="375"/>
      <c r="CM142" s="375"/>
      <c r="CN142" s="375"/>
      <c r="CO142" s="375"/>
      <c r="CP142" s="375"/>
      <c r="CQ142" s="375"/>
      <c r="CR142" s="375"/>
      <c r="CS142" s="375"/>
      <c r="CT142" s="375"/>
      <c r="CU142" s="375"/>
      <c r="CV142" s="375"/>
      <c r="CW142" s="375"/>
      <c r="CX142" s="375"/>
      <c r="CY142" s="375"/>
      <c r="CZ142" s="375"/>
      <c r="DA142" s="375"/>
      <c r="DB142" s="375"/>
      <c r="DC142" s="375"/>
      <c r="DD142" s="375"/>
      <c r="DE142" s="375"/>
      <c r="DF142" s="375"/>
      <c r="DG142" s="375"/>
      <c r="DH142" s="375"/>
      <c r="DI142" s="375"/>
      <c r="DJ142" s="375"/>
      <c r="DK142" s="375"/>
      <c r="DL142" s="375"/>
      <c r="DM142" s="375"/>
      <c r="DN142" s="375"/>
      <c r="DO142" s="375"/>
      <c r="DP142" s="375"/>
      <c r="DQ142" s="375"/>
      <c r="DR142" s="375"/>
      <c r="DS142" s="375"/>
      <c r="DT142" s="375"/>
      <c r="DU142" s="375"/>
      <c r="DV142" s="375"/>
      <c r="DW142" s="375"/>
      <c r="DX142" s="375"/>
      <c r="DY142" s="375"/>
      <c r="DZ142" s="375"/>
      <c r="EA142" s="375"/>
      <c r="EB142" s="375"/>
      <c r="EC142" s="375"/>
      <c r="ED142" s="375"/>
      <c r="EE142" s="375"/>
      <c r="EF142" s="375"/>
      <c r="EG142" s="375"/>
      <c r="EH142" s="375"/>
      <c r="EI142" s="375"/>
      <c r="EJ142" s="375"/>
      <c r="EK142" s="375"/>
      <c r="EL142" s="375"/>
      <c r="EM142" s="375"/>
      <c r="EN142" s="375"/>
      <c r="EO142" s="375"/>
      <c r="EP142" s="375"/>
      <c r="EQ142" s="375"/>
      <c r="ER142" s="375"/>
      <c r="ES142" s="375"/>
      <c r="ET142" s="375"/>
      <c r="EU142" s="375"/>
      <c r="EV142" s="375"/>
      <c r="EW142" s="375"/>
      <c r="EX142" s="375"/>
      <c r="EY142" s="375"/>
      <c r="EZ142" s="375"/>
      <c r="FA142" s="375"/>
      <c r="FB142" s="375"/>
      <c r="FC142" s="375"/>
      <c r="FD142" s="375"/>
      <c r="FE142" s="375"/>
    </row>
    <row r="143" spans="1:163" s="287" customFormat="1" ht="11.25" customHeight="1">
      <c r="A143" s="25" t="s">
        <v>267</v>
      </c>
      <c r="FG143" s="100"/>
    </row>
    <row r="144" spans="1:163" s="287" customFormat="1" ht="30" customHeight="1">
      <c r="A144" s="439" t="s">
        <v>268</v>
      </c>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39"/>
      <c r="AD144" s="439"/>
      <c r="AE144" s="439"/>
      <c r="AF144" s="439"/>
      <c r="AG144" s="439"/>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c r="BU144" s="439"/>
      <c r="BV144" s="439"/>
      <c r="BW144" s="439"/>
      <c r="BX144" s="439"/>
      <c r="BY144" s="439"/>
      <c r="BZ144" s="439"/>
      <c r="CA144" s="439"/>
      <c r="CB144" s="439"/>
      <c r="CC144" s="439"/>
      <c r="CD144" s="439"/>
      <c r="CE144" s="439"/>
      <c r="CF144" s="439"/>
      <c r="CG144" s="439"/>
      <c r="CH144" s="439"/>
      <c r="CI144" s="439"/>
      <c r="CJ144" s="439"/>
      <c r="CK144" s="439"/>
      <c r="CL144" s="439"/>
      <c r="CM144" s="439"/>
      <c r="CN144" s="439"/>
      <c r="CO144" s="439"/>
      <c r="CP144" s="439"/>
      <c r="CQ144" s="439"/>
      <c r="CR144" s="439"/>
      <c r="CS144" s="439"/>
      <c r="CT144" s="439"/>
      <c r="CU144" s="439"/>
      <c r="CV144" s="439"/>
      <c r="CW144" s="439"/>
      <c r="CX144" s="439"/>
      <c r="CY144" s="439"/>
      <c r="CZ144" s="439"/>
      <c r="DA144" s="439"/>
      <c r="DB144" s="439"/>
      <c r="DC144" s="439"/>
      <c r="DD144" s="439"/>
      <c r="DE144" s="439"/>
      <c r="DF144" s="439"/>
      <c r="DG144" s="439"/>
      <c r="DH144" s="439"/>
      <c r="DI144" s="439"/>
      <c r="DJ144" s="439"/>
      <c r="DK144" s="439"/>
      <c r="DL144" s="439"/>
      <c r="DM144" s="439"/>
      <c r="DN144" s="439"/>
      <c r="DO144" s="439"/>
      <c r="DP144" s="439"/>
      <c r="DQ144" s="439"/>
      <c r="DR144" s="439"/>
      <c r="DS144" s="439"/>
      <c r="DT144" s="439"/>
      <c r="DU144" s="439"/>
      <c r="DV144" s="439"/>
      <c r="DW144" s="439"/>
      <c r="DX144" s="439"/>
      <c r="DY144" s="439"/>
      <c r="DZ144" s="439"/>
      <c r="EA144" s="439"/>
      <c r="EB144" s="439"/>
      <c r="EC144" s="439"/>
      <c r="ED144" s="439"/>
      <c r="EE144" s="439"/>
      <c r="EF144" s="439"/>
      <c r="EG144" s="439"/>
      <c r="EH144" s="439"/>
      <c r="EI144" s="439"/>
      <c r="EJ144" s="439"/>
      <c r="EK144" s="439"/>
      <c r="EL144" s="439"/>
      <c r="EM144" s="439"/>
      <c r="EN144" s="439"/>
      <c r="EO144" s="439"/>
      <c r="EP144" s="439"/>
      <c r="EQ144" s="439"/>
      <c r="ER144" s="439"/>
      <c r="ES144" s="439"/>
      <c r="ET144" s="439"/>
      <c r="EU144" s="439"/>
      <c r="EV144" s="439"/>
      <c r="EW144" s="439"/>
      <c r="EX144" s="439"/>
      <c r="EY144" s="439"/>
      <c r="EZ144" s="439"/>
      <c r="FA144" s="439"/>
      <c r="FB144" s="439"/>
      <c r="FC144" s="439"/>
      <c r="FD144" s="439"/>
      <c r="FE144" s="439"/>
      <c r="FF144" s="168"/>
      <c r="FG144" s="100"/>
    </row>
    <row r="145" ht="3" customHeight="1"/>
    <row r="147" spans="175:177" ht="11.25">
      <c r="FS147" s="665"/>
      <c r="FT147" s="665"/>
      <c r="FU147" s="665"/>
    </row>
    <row r="148" spans="175:178" ht="11.25">
      <c r="FS148" s="278"/>
      <c r="FT148" s="278"/>
      <c r="FU148" s="278"/>
      <c r="FV148" s="278"/>
    </row>
    <row r="149" spans="174:179" ht="11.25">
      <c r="FR149" s="24"/>
      <c r="FS149" s="132"/>
      <c r="FT149" s="132"/>
      <c r="FU149" s="132"/>
      <c r="FV149" s="132"/>
      <c r="FW149" s="133"/>
    </row>
    <row r="150" spans="174:179" ht="11.25">
      <c r="FR150" s="24"/>
      <c r="FS150" s="132"/>
      <c r="FT150" s="132"/>
      <c r="FU150" s="132"/>
      <c r="FV150" s="132"/>
      <c r="FW150" s="133"/>
    </row>
    <row r="151" spans="174:179" ht="11.25">
      <c r="FR151" s="24"/>
      <c r="FS151" s="132"/>
      <c r="FT151" s="132"/>
      <c r="FU151" s="132"/>
      <c r="FV151" s="132"/>
      <c r="FW151" s="133"/>
    </row>
    <row r="152" spans="175:179" ht="11.25">
      <c r="FS152" s="134"/>
      <c r="FT152" s="134"/>
      <c r="FU152" s="134"/>
      <c r="FV152" s="134"/>
      <c r="FW152" s="127"/>
    </row>
    <row r="153" spans="174:179" ht="11.25">
      <c r="FR153" s="24"/>
      <c r="FS153" s="132"/>
      <c r="FT153" s="132"/>
      <c r="FU153" s="132"/>
      <c r="FV153" s="132"/>
      <c r="FW153" s="133"/>
    </row>
    <row r="154" spans="174:179" ht="11.25">
      <c r="FR154" s="24"/>
      <c r="FS154" s="132"/>
      <c r="FT154" s="132"/>
      <c r="FU154" s="132"/>
      <c r="FV154" s="132"/>
      <c r="FW154" s="133"/>
    </row>
    <row r="155" spans="175:178" ht="11.25">
      <c r="FS155" s="278"/>
      <c r="FT155" s="278"/>
      <c r="FU155" s="278"/>
      <c r="FV155" s="278"/>
    </row>
    <row r="156" spans="175:178" ht="11.25">
      <c r="FS156" s="278"/>
      <c r="FT156" s="278"/>
      <c r="FU156" s="278"/>
      <c r="FV156" s="278"/>
    </row>
    <row r="157" spans="175:178" ht="11.25">
      <c r="FS157" s="278"/>
      <c r="FT157" s="278"/>
      <c r="FU157" s="278"/>
      <c r="FV157" s="278"/>
    </row>
    <row r="158" spans="175:178" ht="11.25">
      <c r="FS158" s="278"/>
      <c r="FT158" s="278"/>
      <c r="FU158" s="278"/>
      <c r="FV158" s="278"/>
    </row>
    <row r="159" spans="175:178" ht="11.25">
      <c r="FS159" s="278"/>
      <c r="FT159" s="278"/>
      <c r="FU159" s="278"/>
      <c r="FV159" s="278"/>
    </row>
    <row r="160" spans="175:178" ht="11.25">
      <c r="FS160" s="278"/>
      <c r="FT160" s="278"/>
      <c r="FU160" s="278"/>
      <c r="FV160" s="278"/>
    </row>
    <row r="161" spans="175:178" ht="11.25">
      <c r="FS161" s="278"/>
      <c r="FT161" s="278"/>
      <c r="FU161" s="278"/>
      <c r="FV161" s="278"/>
    </row>
    <row r="162" spans="175:178" ht="11.25">
      <c r="FS162" s="278"/>
      <c r="FT162" s="278"/>
      <c r="FU162" s="278"/>
      <c r="FV162" s="278"/>
    </row>
    <row r="163" spans="175:178" ht="11.25">
      <c r="FS163" s="278"/>
      <c r="FT163" s="278"/>
      <c r="FU163" s="278"/>
      <c r="FV163" s="278"/>
    </row>
    <row r="164" spans="175:178" ht="11.25">
      <c r="FS164" s="278"/>
      <c r="FT164" s="278"/>
      <c r="FU164" s="278"/>
      <c r="FV164" s="278"/>
    </row>
    <row r="165" spans="175:178" ht="11.25">
      <c r="FS165" s="278"/>
      <c r="FT165" s="278"/>
      <c r="FU165" s="278"/>
      <c r="FV165" s="278"/>
    </row>
    <row r="166" spans="175:178" ht="11.25">
      <c r="FS166" s="278"/>
      <c r="FT166" s="278"/>
      <c r="FU166" s="278"/>
      <c r="FV166" s="278"/>
    </row>
    <row r="167" spans="175:178" ht="11.25">
      <c r="FS167" s="278"/>
      <c r="FT167" s="278"/>
      <c r="FU167" s="278"/>
      <c r="FV167" s="278"/>
    </row>
    <row r="168" spans="175:178" ht="11.25">
      <c r="FS168" s="278"/>
      <c r="FT168" s="278"/>
      <c r="FU168" s="278"/>
      <c r="FV168" s="278"/>
    </row>
  </sheetData>
  <sheetProtection/>
  <mergeCells count="827">
    <mergeCell ref="EF110:ER110"/>
    <mergeCell ref="ES110:FE110"/>
    <mergeCell ref="A110:BW110"/>
    <mergeCell ref="BX110:CE110"/>
    <mergeCell ref="CF110:CR110"/>
    <mergeCell ref="CS110:DE110"/>
    <mergeCell ref="DF110:DR110"/>
    <mergeCell ref="DS110:EE110"/>
    <mergeCell ref="EF109:ER109"/>
    <mergeCell ref="ES109:FE109"/>
    <mergeCell ref="A109:BW109"/>
    <mergeCell ref="BX109:CE109"/>
    <mergeCell ref="CF109:CR109"/>
    <mergeCell ref="CS109:DE109"/>
    <mergeCell ref="DF109:DR109"/>
    <mergeCell ref="DS109:EE109"/>
    <mergeCell ref="A64:BW67"/>
    <mergeCell ref="BX64:CE67"/>
    <mergeCell ref="CF64:CR64"/>
    <mergeCell ref="CS64:DE64"/>
    <mergeCell ref="DF64:DR64"/>
    <mergeCell ref="EF87:ER87"/>
    <mergeCell ref="DF66:DR66"/>
    <mergeCell ref="DS66:EE66"/>
    <mergeCell ref="EF66:ER66"/>
    <mergeCell ref="CF66:CR66"/>
    <mergeCell ref="ES87:FE87"/>
    <mergeCell ref="A87:BW87"/>
    <mergeCell ref="BX87:CE87"/>
    <mergeCell ref="CF87:CR87"/>
    <mergeCell ref="CS87:DE87"/>
    <mergeCell ref="DF87:DR87"/>
    <mergeCell ref="DS87:EE87"/>
    <mergeCell ref="ES39:FE39"/>
    <mergeCell ref="EF40:ER40"/>
    <mergeCell ref="ES40:FE40"/>
    <mergeCell ref="A40:BW40"/>
    <mergeCell ref="BX40:CE40"/>
    <mergeCell ref="CF40:CR40"/>
    <mergeCell ref="CS40:DE40"/>
    <mergeCell ref="DF40:DR40"/>
    <mergeCell ref="DS40:EE40"/>
    <mergeCell ref="BX39:CE39"/>
    <mergeCell ref="CF39:CR39"/>
    <mergeCell ref="CS39:DE39"/>
    <mergeCell ref="DF39:DR39"/>
    <mergeCell ref="DS39:EE39"/>
    <mergeCell ref="EF39:ER39"/>
    <mergeCell ref="EF118:ER118"/>
    <mergeCell ref="DS116:EE116"/>
    <mergeCell ref="CS66:DE66"/>
    <mergeCell ref="CF113:CR113"/>
    <mergeCell ref="CS113:DE113"/>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BX116:CE116"/>
    <mergeCell ref="CF116:CR116"/>
    <mergeCell ref="CS116:DE116"/>
    <mergeCell ref="DF116:DR116"/>
    <mergeCell ref="ES116:FE116"/>
    <mergeCell ref="A117:BW117"/>
    <mergeCell ref="BX117:CE117"/>
    <mergeCell ref="CF117:CR117"/>
    <mergeCell ref="CS117:DE117"/>
    <mergeCell ref="DF117:DR117"/>
    <mergeCell ref="DS117:EE117"/>
    <mergeCell ref="EF117:ER117"/>
    <mergeCell ref="ES117:FE117"/>
    <mergeCell ref="A116:BW116"/>
    <mergeCell ref="ES114:FE114"/>
    <mergeCell ref="BX113:CE113"/>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DF113:DR113"/>
    <mergeCell ref="DS113:EE113"/>
    <mergeCell ref="EF113:ER113"/>
    <mergeCell ref="DF67:DR67"/>
    <mergeCell ref="DS67:EE67"/>
    <mergeCell ref="EF67:ER67"/>
    <mergeCell ref="EF68:ER68"/>
    <mergeCell ref="DS69:EE69"/>
    <mergeCell ref="EF69:ER69"/>
    <mergeCell ref="DF70:DR70"/>
    <mergeCell ref="CS63:DE63"/>
    <mergeCell ref="DF63:DR63"/>
    <mergeCell ref="DS63:EE63"/>
    <mergeCell ref="EF63:ER63"/>
    <mergeCell ref="ES63:FE63"/>
    <mergeCell ref="DF65:DR65"/>
    <mergeCell ref="CF62:CR62"/>
    <mergeCell ref="FS147:FU147"/>
    <mergeCell ref="FG49:FG50"/>
    <mergeCell ref="A33:BW34"/>
    <mergeCell ref="DF59:DR59"/>
    <mergeCell ref="DS59:EE59"/>
    <mergeCell ref="EF59:ER59"/>
    <mergeCell ref="A36:BW36"/>
    <mergeCell ref="ES67:FE67"/>
    <mergeCell ref="ES66:FE66"/>
    <mergeCell ref="EF28:ER28"/>
    <mergeCell ref="BX28:CE28"/>
    <mergeCell ref="CF28:CR28"/>
    <mergeCell ref="CS28:DE28"/>
    <mergeCell ref="EO26:ER26"/>
    <mergeCell ref="DF29:DR29"/>
    <mergeCell ref="DS29:EE29"/>
    <mergeCell ref="EF29:ER29"/>
    <mergeCell ref="AY13:BE13"/>
    <mergeCell ref="K20:DU20"/>
    <mergeCell ref="DF27:DR27"/>
    <mergeCell ref="DF26:DK26"/>
    <mergeCell ref="DO26:DR26"/>
    <mergeCell ref="EF26:EK26"/>
    <mergeCell ref="CI15:CK15"/>
    <mergeCell ref="BF13:BH13"/>
    <mergeCell ref="CE13:CG13"/>
    <mergeCell ref="CH13:CL13"/>
    <mergeCell ref="A28:BW28"/>
    <mergeCell ref="CS12:CU12"/>
    <mergeCell ref="DL26:DN26"/>
    <mergeCell ref="A25:BW27"/>
    <mergeCell ref="BX25:CE27"/>
    <mergeCell ref="CF25:CR27"/>
    <mergeCell ref="CS25:DE27"/>
    <mergeCell ref="DF25:FE25"/>
    <mergeCell ref="BI13:CD13"/>
    <mergeCell ref="BG15:BJ15"/>
    <mergeCell ref="ES29:FE29"/>
    <mergeCell ref="ES28:FE28"/>
    <mergeCell ref="CP13:CX13"/>
    <mergeCell ref="EF27:ER27"/>
    <mergeCell ref="DS26:DX26"/>
    <mergeCell ref="DY26:EA26"/>
    <mergeCell ref="EB26:EE26"/>
    <mergeCell ref="ES15:FE15"/>
    <mergeCell ref="ES16:FE16"/>
    <mergeCell ref="EL26:EN26"/>
    <mergeCell ref="DB1:FE1"/>
    <mergeCell ref="DB2:FE2"/>
    <mergeCell ref="DW6:FE6"/>
    <mergeCell ref="DW7:FE7"/>
    <mergeCell ref="ES13:FE14"/>
    <mergeCell ref="DF28:DR28"/>
    <mergeCell ref="DS28:EE28"/>
    <mergeCell ref="EW10:EY10"/>
    <mergeCell ref="DS27:EE27"/>
    <mergeCell ref="A23:FE23"/>
    <mergeCell ref="EL9:FE9"/>
    <mergeCell ref="DW10:DX10"/>
    <mergeCell ref="DY10:EA10"/>
    <mergeCell ref="EL8:FE8"/>
    <mergeCell ref="CM13:CO13"/>
    <mergeCell ref="A29:BW29"/>
    <mergeCell ref="BX29:CE29"/>
    <mergeCell ref="CF29:CR29"/>
    <mergeCell ref="CS29:DE29"/>
    <mergeCell ref="ES26:FE27"/>
    <mergeCell ref="DW5:FE5"/>
    <mergeCell ref="DW8:EI8"/>
    <mergeCell ref="EB10:EC10"/>
    <mergeCell ref="EE10:ES10"/>
    <mergeCell ref="ET10:EV10"/>
    <mergeCell ref="BK15:BM15"/>
    <mergeCell ref="DW9:EI9"/>
    <mergeCell ref="BN15:BO15"/>
    <mergeCell ref="BQ15:CE15"/>
    <mergeCell ref="CF15:CH15"/>
    <mergeCell ref="A16:AA16"/>
    <mergeCell ref="AB17:DP17"/>
    <mergeCell ref="ES19:FE19"/>
    <mergeCell ref="ES20:FE20"/>
    <mergeCell ref="ES21:FE21"/>
    <mergeCell ref="ES17:FE17"/>
    <mergeCell ref="ES18:FE18"/>
    <mergeCell ref="DS30:EE30"/>
    <mergeCell ref="EF30:ER30"/>
    <mergeCell ref="ES30:FE30"/>
    <mergeCell ref="A30:BW30"/>
    <mergeCell ref="BX30:CE30"/>
    <mergeCell ref="CF30:CR30"/>
    <mergeCell ref="CS30:DE30"/>
    <mergeCell ref="DF30:DR30"/>
    <mergeCell ref="DF31:DR31"/>
    <mergeCell ref="DS31:EE31"/>
    <mergeCell ref="EF31:ER31"/>
    <mergeCell ref="ES31:FE31"/>
    <mergeCell ref="A31:BW31"/>
    <mergeCell ref="BX31:CE31"/>
    <mergeCell ref="CF31:CR31"/>
    <mergeCell ref="CS31:DE31"/>
    <mergeCell ref="BX33:CE34"/>
    <mergeCell ref="EF33:ER34"/>
    <mergeCell ref="CF33:CR34"/>
    <mergeCell ref="CS33:DE34"/>
    <mergeCell ref="ES32:FE32"/>
    <mergeCell ref="A32:BW32"/>
    <mergeCell ref="BX32:CE32"/>
    <mergeCell ref="CF32:CR32"/>
    <mergeCell ref="CS32:DE32"/>
    <mergeCell ref="CS37:DE37"/>
    <mergeCell ref="CS36:DE36"/>
    <mergeCell ref="DF32:DR32"/>
    <mergeCell ref="DS32:EE32"/>
    <mergeCell ref="EF32:ER32"/>
    <mergeCell ref="DF33:DR34"/>
    <mergeCell ref="DS33:EE34"/>
    <mergeCell ref="ES36:FE36"/>
    <mergeCell ref="ES37:FE37"/>
    <mergeCell ref="BX36:CE36"/>
    <mergeCell ref="A35:BW35"/>
    <mergeCell ref="BX35:CE35"/>
    <mergeCell ref="CF35:CR35"/>
    <mergeCell ref="CS35:DE35"/>
    <mergeCell ref="A37:BW39"/>
    <mergeCell ref="BX37:CE37"/>
    <mergeCell ref="CF37:CR37"/>
    <mergeCell ref="EF38:ER38"/>
    <mergeCell ref="CF36:CR36"/>
    <mergeCell ref="BX59:CE59"/>
    <mergeCell ref="CF59:CR59"/>
    <mergeCell ref="CS59:DE59"/>
    <mergeCell ref="ES33:FE34"/>
    <mergeCell ref="DF35:DR35"/>
    <mergeCell ref="DS35:EE35"/>
    <mergeCell ref="EF35:ER35"/>
    <mergeCell ref="ES35:FE35"/>
    <mergeCell ref="BX38:CE38"/>
    <mergeCell ref="CF38:CR38"/>
    <mergeCell ref="DF37:DR37"/>
    <mergeCell ref="DS37:EE37"/>
    <mergeCell ref="EF37:ER37"/>
    <mergeCell ref="EF36:ER36"/>
    <mergeCell ref="DF36:DR36"/>
    <mergeCell ref="DS36:EE36"/>
    <mergeCell ref="DF38:DR38"/>
    <mergeCell ref="DS38:EE38"/>
    <mergeCell ref="ES38:FE38"/>
    <mergeCell ref="A41:BW41"/>
    <mergeCell ref="BX41:CE41"/>
    <mergeCell ref="CF41:CR41"/>
    <mergeCell ref="CS41:DE41"/>
    <mergeCell ref="DF41:DR41"/>
    <mergeCell ref="DS41:EE41"/>
    <mergeCell ref="EF41:ER41"/>
    <mergeCell ref="ES41:FE41"/>
    <mergeCell ref="CS38:DE38"/>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ES54:FE55"/>
    <mergeCell ref="A54:BW54"/>
    <mergeCell ref="BX54:CE55"/>
    <mergeCell ref="CF54:CR55"/>
    <mergeCell ref="CS54:DE55"/>
    <mergeCell ref="A55:BW55"/>
    <mergeCell ref="BX56:CE56"/>
    <mergeCell ref="CF56:CR56"/>
    <mergeCell ref="CS56:DE56"/>
    <mergeCell ref="DF54:DR55"/>
    <mergeCell ref="DS54:EE55"/>
    <mergeCell ref="EF54:ER55"/>
    <mergeCell ref="ES57:FE57"/>
    <mergeCell ref="A57:BW57"/>
    <mergeCell ref="BX57:CE57"/>
    <mergeCell ref="CF57:CR57"/>
    <mergeCell ref="CS57:DE57"/>
    <mergeCell ref="DF56:DR56"/>
    <mergeCell ref="DS56:EE56"/>
    <mergeCell ref="EF56:ER56"/>
    <mergeCell ref="ES56:FE56"/>
    <mergeCell ref="A56:BW56"/>
    <mergeCell ref="BX58:CE58"/>
    <mergeCell ref="CF58:CR58"/>
    <mergeCell ref="CS58:DE58"/>
    <mergeCell ref="DF57:DR57"/>
    <mergeCell ref="DS57:EE57"/>
    <mergeCell ref="EF57:ER57"/>
    <mergeCell ref="DF60:DR60"/>
    <mergeCell ref="DS60:EE60"/>
    <mergeCell ref="EF60:ER60"/>
    <mergeCell ref="ES60:FE60"/>
    <mergeCell ref="A59:BW59"/>
    <mergeCell ref="DF58:DR58"/>
    <mergeCell ref="DS58:EE58"/>
    <mergeCell ref="EF58:ER58"/>
    <mergeCell ref="ES58:FE58"/>
    <mergeCell ref="A58:BW58"/>
    <mergeCell ref="DF61:DR61"/>
    <mergeCell ref="DS61:EE61"/>
    <mergeCell ref="A61:BW61"/>
    <mergeCell ref="BX61:CE61"/>
    <mergeCell ref="CF61:CR61"/>
    <mergeCell ref="ES59:FE59"/>
    <mergeCell ref="A60:BW60"/>
    <mergeCell ref="BX60:CE60"/>
    <mergeCell ref="CF60:CR60"/>
    <mergeCell ref="CS60:DE60"/>
    <mergeCell ref="A62:BW63"/>
    <mergeCell ref="CF63:CR63"/>
    <mergeCell ref="EF65:ER65"/>
    <mergeCell ref="ES65:FE65"/>
    <mergeCell ref="CF65:CR65"/>
    <mergeCell ref="CS65:DE65"/>
    <mergeCell ref="DS65:EE65"/>
    <mergeCell ref="EF64:ER64"/>
    <mergeCell ref="BX62:CE63"/>
    <mergeCell ref="ES62:FE62"/>
    <mergeCell ref="CF67:CR67"/>
    <mergeCell ref="CS67:DE67"/>
    <mergeCell ref="EF61:ER61"/>
    <mergeCell ref="ES61:FE61"/>
    <mergeCell ref="CS62:DE62"/>
    <mergeCell ref="DF62:DR62"/>
    <mergeCell ref="DS62:EE62"/>
    <mergeCell ref="EF62:ER62"/>
    <mergeCell ref="CS61:DE61"/>
    <mergeCell ref="DS64:EE64"/>
    <mergeCell ref="ES68:FE68"/>
    <mergeCell ref="A68:BW68"/>
    <mergeCell ref="BX68:CE68"/>
    <mergeCell ref="CF68:CR68"/>
    <mergeCell ref="CS68:DE68"/>
    <mergeCell ref="DF68:DR68"/>
    <mergeCell ref="DS68:EE68"/>
    <mergeCell ref="ES69:FE69"/>
    <mergeCell ref="A69:BW69"/>
    <mergeCell ref="BX69:CE69"/>
    <mergeCell ref="CF69:CR69"/>
    <mergeCell ref="CS69:DE69"/>
    <mergeCell ref="DF69:DR69"/>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F95:DR95"/>
    <mergeCell ref="DS93:EE93"/>
    <mergeCell ref="EF93:ER93"/>
    <mergeCell ref="ES93:FE93"/>
    <mergeCell ref="A93:BW93"/>
    <mergeCell ref="BX93:CE93"/>
    <mergeCell ref="CF93:CR93"/>
    <mergeCell ref="CS93:DE93"/>
    <mergeCell ref="DF94:DR94"/>
    <mergeCell ref="DS94:EE94"/>
    <mergeCell ref="EF94:ER94"/>
    <mergeCell ref="ES94:FE94"/>
    <mergeCell ref="A94:BW94"/>
    <mergeCell ref="CF94:CR94"/>
    <mergeCell ref="CS94:DE94"/>
    <mergeCell ref="BX94:CE95"/>
    <mergeCell ref="CF95:CR95"/>
    <mergeCell ref="CS95:DE95"/>
    <mergeCell ref="A95:BW95"/>
    <mergeCell ref="DF96:DR96"/>
    <mergeCell ref="DS96:EE96"/>
    <mergeCell ref="EF96:ER96"/>
    <mergeCell ref="ES96:FE96"/>
    <mergeCell ref="A96:BW96"/>
    <mergeCell ref="BX96:CE96"/>
    <mergeCell ref="CF96:CR96"/>
    <mergeCell ref="CS96:DE96"/>
    <mergeCell ref="EF97:ER97"/>
    <mergeCell ref="ES97:FE97"/>
    <mergeCell ref="A97:BW97"/>
    <mergeCell ref="BX97:CE97"/>
    <mergeCell ref="CF97:CR97"/>
    <mergeCell ref="CS97:DE97"/>
    <mergeCell ref="A98:BW98"/>
    <mergeCell ref="BX98:CE98"/>
    <mergeCell ref="CF98:CR98"/>
    <mergeCell ref="CS98:DE98"/>
    <mergeCell ref="DF97:DR97"/>
    <mergeCell ref="DS97:EE97"/>
    <mergeCell ref="A103:BW103"/>
    <mergeCell ref="DF99:DR99"/>
    <mergeCell ref="DS99:EE99"/>
    <mergeCell ref="EF99:ER99"/>
    <mergeCell ref="ES99:FE99"/>
    <mergeCell ref="CS99:DE99"/>
    <mergeCell ref="EF101:ER101"/>
    <mergeCell ref="ES101:FE101"/>
    <mergeCell ref="A101:BW101"/>
    <mergeCell ref="BX102:CE102"/>
    <mergeCell ref="CF102:CR102"/>
    <mergeCell ref="CS102:DE102"/>
    <mergeCell ref="DF102:DR102"/>
    <mergeCell ref="DS102:EE102"/>
    <mergeCell ref="A102:BW102"/>
    <mergeCell ref="ES120:FE120"/>
    <mergeCell ref="DS103:EE103"/>
    <mergeCell ref="EF112:ER112"/>
    <mergeCell ref="ES112:FE112"/>
    <mergeCell ref="EF103:ER103"/>
    <mergeCell ref="EF111:ER111"/>
    <mergeCell ref="ES111:FE111"/>
    <mergeCell ref="ES103:FE103"/>
    <mergeCell ref="ES113:FE113"/>
    <mergeCell ref="EF114:ER114"/>
    <mergeCell ref="A120:BW120"/>
    <mergeCell ref="BX120:CE120"/>
    <mergeCell ref="CF120:CR120"/>
    <mergeCell ref="CS120:DE120"/>
    <mergeCell ref="BX103:CE103"/>
    <mergeCell ref="CF103:CR103"/>
    <mergeCell ref="CS103:DE103"/>
    <mergeCell ref="A113:BW113"/>
    <mergeCell ref="A108:BW108"/>
    <mergeCell ref="BX108:CE108"/>
    <mergeCell ref="BX121:CE121"/>
    <mergeCell ref="CF121:CR121"/>
    <mergeCell ref="CS121:DE121"/>
    <mergeCell ref="A111:BW111"/>
    <mergeCell ref="BX111:CE111"/>
    <mergeCell ref="DF120:DR120"/>
    <mergeCell ref="DS120:EE120"/>
    <mergeCell ref="EF120:ER120"/>
    <mergeCell ref="ES122:FE122"/>
    <mergeCell ref="A122:BW122"/>
    <mergeCell ref="BX122:CE122"/>
    <mergeCell ref="CF122:CR122"/>
    <mergeCell ref="CS122:DE122"/>
    <mergeCell ref="DF121:DR121"/>
    <mergeCell ref="DS121:EE121"/>
    <mergeCell ref="EF121:ER121"/>
    <mergeCell ref="ES121:FE121"/>
    <mergeCell ref="A121:BW121"/>
    <mergeCell ref="BX123:CE123"/>
    <mergeCell ref="CF123:CR123"/>
    <mergeCell ref="CS123:DE123"/>
    <mergeCell ref="DF122:DR122"/>
    <mergeCell ref="DS122:EE122"/>
    <mergeCell ref="EF122:E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ES128:FE128"/>
    <mergeCell ref="A128:BW128"/>
    <mergeCell ref="BX128:CE128"/>
    <mergeCell ref="CF128:CR128"/>
    <mergeCell ref="CS128:DE128"/>
    <mergeCell ref="DF127:DR127"/>
    <mergeCell ref="DS127:EE127"/>
    <mergeCell ref="EF127:ER127"/>
    <mergeCell ref="ES127:FE127"/>
    <mergeCell ref="A127:BW127"/>
    <mergeCell ref="BX129:CE129"/>
    <mergeCell ref="CF129:CR129"/>
    <mergeCell ref="CS129:DE129"/>
    <mergeCell ref="DF128:DR128"/>
    <mergeCell ref="DS128:EE128"/>
    <mergeCell ref="EF128:ER128"/>
    <mergeCell ref="A144:FE144"/>
    <mergeCell ref="A137:FE137"/>
    <mergeCell ref="A139:FE139"/>
    <mergeCell ref="A140:FE140"/>
    <mergeCell ref="A141:FE141"/>
    <mergeCell ref="DF129:DR129"/>
    <mergeCell ref="DS129:EE129"/>
    <mergeCell ref="EF129:ER129"/>
    <mergeCell ref="ES129:FE129"/>
    <mergeCell ref="A129:BW129"/>
    <mergeCell ref="EF105:ER105"/>
    <mergeCell ref="ES105:FE105"/>
    <mergeCell ref="EF104:ER104"/>
    <mergeCell ref="ES104:FE104"/>
    <mergeCell ref="A112:BW112"/>
    <mergeCell ref="BX112:CE112"/>
    <mergeCell ref="CF112:CR112"/>
    <mergeCell ref="CS112:DE112"/>
    <mergeCell ref="DF112:DR112"/>
    <mergeCell ref="DS112:EE112"/>
    <mergeCell ref="CF111:CR111"/>
    <mergeCell ref="CS111:DE111"/>
    <mergeCell ref="DF111:DR111"/>
    <mergeCell ref="DS111:EE111"/>
    <mergeCell ref="CF108:CR108"/>
    <mergeCell ref="CS108:DE108"/>
    <mergeCell ref="DF108:DR108"/>
    <mergeCell ref="DS108:EE108"/>
    <mergeCell ref="EF106:ER106"/>
    <mergeCell ref="ES106:FE106"/>
    <mergeCell ref="EF107:ER107"/>
    <mergeCell ref="ES107:FE107"/>
    <mergeCell ref="EF108:ER108"/>
    <mergeCell ref="ES108:FE108"/>
    <mergeCell ref="A107:BW107"/>
    <mergeCell ref="BX107:CE107"/>
    <mergeCell ref="CF107:CR107"/>
    <mergeCell ref="CS107:DE107"/>
    <mergeCell ref="DF107:DR107"/>
    <mergeCell ref="DS107:EE107"/>
    <mergeCell ref="A106:BW106"/>
    <mergeCell ref="BX106:CE106"/>
    <mergeCell ref="CF106:CR106"/>
    <mergeCell ref="CS106:DE106"/>
    <mergeCell ref="DF106:DR106"/>
    <mergeCell ref="DS106:EE106"/>
    <mergeCell ref="BX101:CE101"/>
    <mergeCell ref="A47:BW47"/>
    <mergeCell ref="BX47:CE47"/>
    <mergeCell ref="CF47:CR47"/>
    <mergeCell ref="CS47:DE47"/>
    <mergeCell ref="DF47:DR47"/>
    <mergeCell ref="CF101:CR101"/>
    <mergeCell ref="CS101:DE101"/>
    <mergeCell ref="DF101:DR101"/>
    <mergeCell ref="DF98:DR98"/>
    <mergeCell ref="EF47:ER47"/>
    <mergeCell ref="ES47:FE47"/>
    <mergeCell ref="EF102:ER102"/>
    <mergeCell ref="ES102:FE102"/>
    <mergeCell ref="DF103:DR103"/>
    <mergeCell ref="DS47:EE47"/>
    <mergeCell ref="DS101:EE101"/>
    <mergeCell ref="DS98:EE98"/>
    <mergeCell ref="EF98:ER98"/>
    <mergeCell ref="ES98:FE98"/>
    <mergeCell ref="CS104:DE105"/>
    <mergeCell ref="BX105:CE105"/>
    <mergeCell ref="CF105:CR105"/>
    <mergeCell ref="DF105:DR105"/>
    <mergeCell ref="DS105:EE105"/>
    <mergeCell ref="BX104:CE104"/>
    <mergeCell ref="CF104:CR104"/>
    <mergeCell ref="DF104:DR104"/>
    <mergeCell ref="DS104:EE104"/>
    <mergeCell ref="A142:FE142"/>
    <mergeCell ref="EF100:ER100"/>
    <mergeCell ref="ES100:FE100"/>
    <mergeCell ref="A99:BW100"/>
    <mergeCell ref="BX99:CE100"/>
    <mergeCell ref="CF99:CR100"/>
    <mergeCell ref="CS100:DE100"/>
    <mergeCell ref="DF100:DR100"/>
    <mergeCell ref="DS100:EE100"/>
    <mergeCell ref="A104:BW105"/>
  </mergeCells>
  <printOptions/>
  <pageMargins left="0.4330708661417323" right="0.2362204724409449" top="0.7480314960629921" bottom="0.7480314960629921" header="0.31496062992125984" footer="0.31496062992125984"/>
  <pageSetup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62" max="65535" man="1"/>
  </colBreaks>
  <legacyDrawing r:id="rId2"/>
</worksheet>
</file>

<file path=xl/worksheets/sheet2.xml><?xml version="1.0" encoding="utf-8"?>
<worksheet xmlns="http://schemas.openxmlformats.org/spreadsheetml/2006/main" xmlns:r="http://schemas.openxmlformats.org/officeDocument/2006/relationships">
  <dimension ref="A1:FN50"/>
  <sheetViews>
    <sheetView view="pageBreakPreview" zoomScale="110" zoomScaleSheetLayoutView="110" zoomScalePageLayoutView="0" workbookViewId="0" topLeftCell="A31">
      <selection activeCell="FF26" sqref="FF26"/>
    </sheetView>
  </sheetViews>
  <sheetFormatPr defaultColWidth="0.875" defaultRowHeight="12.75"/>
  <cols>
    <col min="1" max="121" width="0.875" style="22" customWidth="1"/>
    <col min="122" max="122" width="2.75390625" style="22" customWidth="1"/>
    <col min="123" max="134" width="0.875" style="22" customWidth="1"/>
    <col min="135" max="135" width="1.75390625" style="22" customWidth="1"/>
    <col min="136" max="147" width="0.875" style="22" customWidth="1"/>
    <col min="148" max="148" width="2.375" style="22" customWidth="1"/>
    <col min="149" max="161" width="0.875" style="22" customWidth="1"/>
    <col min="162" max="162" width="15.75390625" style="22" customWidth="1"/>
    <col min="163" max="163" width="12.75390625" style="22" customWidth="1"/>
    <col min="164" max="164" width="0.875" style="22" customWidth="1"/>
    <col min="165" max="165" width="14.125" style="22" customWidth="1"/>
    <col min="166" max="167" width="0.875" style="22" customWidth="1"/>
    <col min="168" max="168" width="12.00390625" style="22" customWidth="1"/>
    <col min="169" max="169" width="12.875" style="22" customWidth="1"/>
    <col min="170" max="170" width="12.00390625" style="22" customWidth="1"/>
    <col min="171" max="16384" width="0.875" style="22" customWidth="1"/>
  </cols>
  <sheetData>
    <row r="1" spans="2:160" s="24" customFormat="1" ht="13.5" customHeight="1">
      <c r="B1" s="630" t="s">
        <v>196</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630"/>
      <c r="DK1" s="630"/>
      <c r="DL1" s="630"/>
      <c r="DM1" s="630"/>
      <c r="DN1" s="630"/>
      <c r="DO1" s="630"/>
      <c r="DP1" s="630"/>
      <c r="DQ1" s="630"/>
      <c r="DR1" s="630"/>
      <c r="DS1" s="630"/>
      <c r="DT1" s="630"/>
      <c r="DU1" s="630"/>
      <c r="DV1" s="630"/>
      <c r="DW1" s="630"/>
      <c r="DX1" s="630"/>
      <c r="DY1" s="630"/>
      <c r="DZ1" s="630"/>
      <c r="EA1" s="630"/>
      <c r="EB1" s="630"/>
      <c r="EC1" s="630"/>
      <c r="ED1" s="630"/>
      <c r="EE1" s="630"/>
      <c r="EF1" s="630"/>
      <c r="EG1" s="630"/>
      <c r="EH1" s="630"/>
      <c r="EI1" s="630"/>
      <c r="EJ1" s="630"/>
      <c r="EK1" s="630"/>
      <c r="EL1" s="630"/>
      <c r="EM1" s="630"/>
      <c r="EN1" s="630"/>
      <c r="EO1" s="630"/>
      <c r="EP1" s="630"/>
      <c r="EQ1" s="630"/>
      <c r="ER1" s="630"/>
      <c r="ES1" s="630"/>
      <c r="ET1" s="630"/>
      <c r="EU1" s="630"/>
      <c r="EV1" s="630"/>
      <c r="EW1" s="630"/>
      <c r="EX1" s="630"/>
      <c r="EY1" s="630"/>
      <c r="EZ1" s="630"/>
      <c r="FA1" s="630"/>
      <c r="FB1" s="630"/>
      <c r="FC1" s="630"/>
      <c r="FD1" s="630"/>
    </row>
    <row r="3" spans="1:161" ht="11.25" customHeight="1">
      <c r="A3" s="609" t="s">
        <v>190</v>
      </c>
      <c r="B3" s="610"/>
      <c r="C3" s="610"/>
      <c r="D3" s="610"/>
      <c r="E3" s="610"/>
      <c r="F3" s="610"/>
      <c r="G3" s="610"/>
      <c r="H3" s="611"/>
      <c r="I3" s="618" t="s">
        <v>0</v>
      </c>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9"/>
      <c r="CN3" s="609" t="s">
        <v>191</v>
      </c>
      <c r="CO3" s="610"/>
      <c r="CP3" s="610"/>
      <c r="CQ3" s="610"/>
      <c r="CR3" s="610"/>
      <c r="CS3" s="610"/>
      <c r="CT3" s="610"/>
      <c r="CU3" s="611"/>
      <c r="CV3" s="609" t="s">
        <v>192</v>
      </c>
      <c r="CW3" s="610"/>
      <c r="CX3" s="610"/>
      <c r="CY3" s="610"/>
      <c r="CZ3" s="610"/>
      <c r="DA3" s="610"/>
      <c r="DB3" s="610"/>
      <c r="DC3" s="610"/>
      <c r="DD3" s="610"/>
      <c r="DE3" s="611"/>
      <c r="DF3" s="650" t="s">
        <v>10</v>
      </c>
      <c r="DG3" s="651"/>
      <c r="DH3" s="651"/>
      <c r="DI3" s="651"/>
      <c r="DJ3" s="651"/>
      <c r="DK3" s="651"/>
      <c r="DL3" s="651"/>
      <c r="DM3" s="651"/>
      <c r="DN3" s="651"/>
      <c r="DO3" s="651"/>
      <c r="DP3" s="651"/>
      <c r="DQ3" s="651"/>
      <c r="DR3" s="651"/>
      <c r="DS3" s="651"/>
      <c r="DT3" s="651"/>
      <c r="DU3" s="651"/>
      <c r="DV3" s="651"/>
      <c r="DW3" s="651"/>
      <c r="DX3" s="651"/>
      <c r="DY3" s="651"/>
      <c r="DZ3" s="651"/>
      <c r="EA3" s="651"/>
      <c r="EB3" s="651"/>
      <c r="EC3" s="651"/>
      <c r="ED3" s="651"/>
      <c r="EE3" s="651"/>
      <c r="EF3" s="651"/>
      <c r="EG3" s="651"/>
      <c r="EH3" s="651"/>
      <c r="EI3" s="651"/>
      <c r="EJ3" s="651"/>
      <c r="EK3" s="651"/>
      <c r="EL3" s="651"/>
      <c r="EM3" s="651"/>
      <c r="EN3" s="651"/>
      <c r="EO3" s="651"/>
      <c r="EP3" s="651"/>
      <c r="EQ3" s="651"/>
      <c r="ER3" s="651"/>
      <c r="ES3" s="651"/>
      <c r="ET3" s="651"/>
      <c r="EU3" s="651"/>
      <c r="EV3" s="651"/>
      <c r="EW3" s="651"/>
      <c r="EX3" s="651"/>
      <c r="EY3" s="651"/>
      <c r="EZ3" s="651"/>
      <c r="FA3" s="651"/>
      <c r="FB3" s="651"/>
      <c r="FC3" s="651"/>
      <c r="FD3" s="651"/>
      <c r="FE3" s="652"/>
    </row>
    <row r="4" spans="1:161" ht="11.25" customHeight="1">
      <c r="A4" s="647"/>
      <c r="B4" s="648"/>
      <c r="C4" s="648"/>
      <c r="D4" s="648"/>
      <c r="E4" s="648"/>
      <c r="F4" s="648"/>
      <c r="G4" s="648"/>
      <c r="H4" s="649"/>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2"/>
      <c r="CN4" s="647"/>
      <c r="CO4" s="648"/>
      <c r="CP4" s="648"/>
      <c r="CQ4" s="648"/>
      <c r="CR4" s="648"/>
      <c r="CS4" s="648"/>
      <c r="CT4" s="648"/>
      <c r="CU4" s="649"/>
      <c r="CV4" s="647"/>
      <c r="CW4" s="648"/>
      <c r="CX4" s="648"/>
      <c r="CY4" s="648"/>
      <c r="CZ4" s="648"/>
      <c r="DA4" s="648"/>
      <c r="DB4" s="648"/>
      <c r="DC4" s="648"/>
      <c r="DD4" s="648"/>
      <c r="DE4" s="649"/>
      <c r="DF4" s="635" t="s">
        <v>4</v>
      </c>
      <c r="DG4" s="636"/>
      <c r="DH4" s="636"/>
      <c r="DI4" s="636"/>
      <c r="DJ4" s="636"/>
      <c r="DK4" s="636"/>
      <c r="DL4" s="637" t="s">
        <v>279</v>
      </c>
      <c r="DM4" s="637"/>
      <c r="DN4" s="637"/>
      <c r="DO4" s="638" t="s">
        <v>5</v>
      </c>
      <c r="DP4" s="638"/>
      <c r="DQ4" s="638"/>
      <c r="DR4" s="639"/>
      <c r="DS4" s="635" t="s">
        <v>4</v>
      </c>
      <c r="DT4" s="636"/>
      <c r="DU4" s="636"/>
      <c r="DV4" s="636"/>
      <c r="DW4" s="636"/>
      <c r="DX4" s="636"/>
      <c r="DY4" s="637" t="s">
        <v>531</v>
      </c>
      <c r="DZ4" s="637"/>
      <c r="EA4" s="637"/>
      <c r="EB4" s="638" t="s">
        <v>5</v>
      </c>
      <c r="EC4" s="638"/>
      <c r="ED4" s="638"/>
      <c r="EE4" s="639"/>
      <c r="EF4" s="635" t="s">
        <v>4</v>
      </c>
      <c r="EG4" s="636"/>
      <c r="EH4" s="636"/>
      <c r="EI4" s="636"/>
      <c r="EJ4" s="636"/>
      <c r="EK4" s="636"/>
      <c r="EL4" s="637" t="s">
        <v>558</v>
      </c>
      <c r="EM4" s="637"/>
      <c r="EN4" s="637"/>
      <c r="EO4" s="638" t="s">
        <v>5</v>
      </c>
      <c r="EP4" s="638"/>
      <c r="EQ4" s="638"/>
      <c r="ER4" s="639"/>
      <c r="ES4" s="609" t="s">
        <v>9</v>
      </c>
      <c r="ET4" s="610"/>
      <c r="EU4" s="610"/>
      <c r="EV4" s="610"/>
      <c r="EW4" s="610"/>
      <c r="EX4" s="610"/>
      <c r="EY4" s="610"/>
      <c r="EZ4" s="610"/>
      <c r="FA4" s="610"/>
      <c r="FB4" s="610"/>
      <c r="FC4" s="610"/>
      <c r="FD4" s="610"/>
      <c r="FE4" s="611"/>
    </row>
    <row r="5" spans="1:161" ht="39" customHeight="1">
      <c r="A5" s="612"/>
      <c r="B5" s="613"/>
      <c r="C5" s="613"/>
      <c r="D5" s="613"/>
      <c r="E5" s="613"/>
      <c r="F5" s="613"/>
      <c r="G5" s="613"/>
      <c r="H5" s="614"/>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645"/>
      <c r="AZ5" s="645"/>
      <c r="BA5" s="645"/>
      <c r="BB5" s="645"/>
      <c r="BC5" s="645"/>
      <c r="BD5" s="645"/>
      <c r="BE5" s="645"/>
      <c r="BF5" s="645"/>
      <c r="BG5" s="645"/>
      <c r="BH5" s="645"/>
      <c r="BI5" s="645"/>
      <c r="BJ5" s="645"/>
      <c r="BK5" s="645"/>
      <c r="BL5" s="645"/>
      <c r="BM5" s="645"/>
      <c r="BN5" s="645"/>
      <c r="BO5" s="645"/>
      <c r="BP5" s="645"/>
      <c r="BQ5" s="645"/>
      <c r="BR5" s="645"/>
      <c r="BS5" s="645"/>
      <c r="BT5" s="645"/>
      <c r="BU5" s="645"/>
      <c r="BV5" s="645"/>
      <c r="BW5" s="645"/>
      <c r="BX5" s="645"/>
      <c r="BY5" s="645"/>
      <c r="BZ5" s="645"/>
      <c r="CA5" s="645"/>
      <c r="CB5" s="645"/>
      <c r="CC5" s="645"/>
      <c r="CD5" s="645"/>
      <c r="CE5" s="645"/>
      <c r="CF5" s="645"/>
      <c r="CG5" s="645"/>
      <c r="CH5" s="645"/>
      <c r="CI5" s="645"/>
      <c r="CJ5" s="645"/>
      <c r="CK5" s="645"/>
      <c r="CL5" s="645"/>
      <c r="CM5" s="646"/>
      <c r="CN5" s="612"/>
      <c r="CO5" s="613"/>
      <c r="CP5" s="613"/>
      <c r="CQ5" s="613"/>
      <c r="CR5" s="613"/>
      <c r="CS5" s="613"/>
      <c r="CT5" s="613"/>
      <c r="CU5" s="614"/>
      <c r="CV5" s="612"/>
      <c r="CW5" s="613"/>
      <c r="CX5" s="613"/>
      <c r="CY5" s="613"/>
      <c r="CZ5" s="613"/>
      <c r="DA5" s="613"/>
      <c r="DB5" s="613"/>
      <c r="DC5" s="613"/>
      <c r="DD5" s="613"/>
      <c r="DE5" s="614"/>
      <c r="DF5" s="627" t="s">
        <v>193</v>
      </c>
      <c r="DG5" s="628"/>
      <c r="DH5" s="628"/>
      <c r="DI5" s="628"/>
      <c r="DJ5" s="628"/>
      <c r="DK5" s="628"/>
      <c r="DL5" s="628"/>
      <c r="DM5" s="628"/>
      <c r="DN5" s="628"/>
      <c r="DO5" s="628"/>
      <c r="DP5" s="628"/>
      <c r="DQ5" s="628"/>
      <c r="DR5" s="629"/>
      <c r="DS5" s="627" t="s">
        <v>194</v>
      </c>
      <c r="DT5" s="628"/>
      <c r="DU5" s="628"/>
      <c r="DV5" s="628"/>
      <c r="DW5" s="628"/>
      <c r="DX5" s="628"/>
      <c r="DY5" s="628"/>
      <c r="DZ5" s="628"/>
      <c r="EA5" s="628"/>
      <c r="EB5" s="628"/>
      <c r="EC5" s="628"/>
      <c r="ED5" s="628"/>
      <c r="EE5" s="629"/>
      <c r="EF5" s="627" t="s">
        <v>195</v>
      </c>
      <c r="EG5" s="628"/>
      <c r="EH5" s="628"/>
      <c r="EI5" s="628"/>
      <c r="EJ5" s="628"/>
      <c r="EK5" s="628"/>
      <c r="EL5" s="628"/>
      <c r="EM5" s="628"/>
      <c r="EN5" s="628"/>
      <c r="EO5" s="628"/>
      <c r="EP5" s="628"/>
      <c r="EQ5" s="628"/>
      <c r="ER5" s="629"/>
      <c r="ES5" s="612"/>
      <c r="ET5" s="613"/>
      <c r="EU5" s="613"/>
      <c r="EV5" s="613"/>
      <c r="EW5" s="613"/>
      <c r="EX5" s="613"/>
      <c r="EY5" s="613"/>
      <c r="EZ5" s="613"/>
      <c r="FA5" s="613"/>
      <c r="FB5" s="613"/>
      <c r="FC5" s="613"/>
      <c r="FD5" s="613"/>
      <c r="FE5" s="614"/>
    </row>
    <row r="6" spans="1:170" ht="12" thickBot="1">
      <c r="A6" s="641" t="s">
        <v>11</v>
      </c>
      <c r="B6" s="642"/>
      <c r="C6" s="642"/>
      <c r="D6" s="642"/>
      <c r="E6" s="642"/>
      <c r="F6" s="642"/>
      <c r="G6" s="642"/>
      <c r="H6" s="643"/>
      <c r="I6" s="642" t="s">
        <v>12</v>
      </c>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3"/>
      <c r="CN6" s="623" t="s">
        <v>13</v>
      </c>
      <c r="CO6" s="624"/>
      <c r="CP6" s="624"/>
      <c r="CQ6" s="624"/>
      <c r="CR6" s="624"/>
      <c r="CS6" s="624"/>
      <c r="CT6" s="624"/>
      <c r="CU6" s="625"/>
      <c r="CV6" s="623" t="s">
        <v>14</v>
      </c>
      <c r="CW6" s="624"/>
      <c r="CX6" s="624"/>
      <c r="CY6" s="624"/>
      <c r="CZ6" s="624"/>
      <c r="DA6" s="624"/>
      <c r="DB6" s="624"/>
      <c r="DC6" s="624"/>
      <c r="DD6" s="624"/>
      <c r="DE6" s="625"/>
      <c r="DF6" s="623" t="s">
        <v>15</v>
      </c>
      <c r="DG6" s="624"/>
      <c r="DH6" s="624"/>
      <c r="DI6" s="624"/>
      <c r="DJ6" s="624"/>
      <c r="DK6" s="624"/>
      <c r="DL6" s="624"/>
      <c r="DM6" s="624"/>
      <c r="DN6" s="624"/>
      <c r="DO6" s="624"/>
      <c r="DP6" s="624"/>
      <c r="DQ6" s="624"/>
      <c r="DR6" s="625"/>
      <c r="DS6" s="623" t="s">
        <v>16</v>
      </c>
      <c r="DT6" s="624"/>
      <c r="DU6" s="624"/>
      <c r="DV6" s="624"/>
      <c r="DW6" s="624"/>
      <c r="DX6" s="624"/>
      <c r="DY6" s="624"/>
      <c r="DZ6" s="624"/>
      <c r="EA6" s="624"/>
      <c r="EB6" s="624"/>
      <c r="EC6" s="624"/>
      <c r="ED6" s="624"/>
      <c r="EE6" s="625"/>
      <c r="EF6" s="623" t="s">
        <v>17</v>
      </c>
      <c r="EG6" s="624"/>
      <c r="EH6" s="624"/>
      <c r="EI6" s="624"/>
      <c r="EJ6" s="624"/>
      <c r="EK6" s="624"/>
      <c r="EL6" s="624"/>
      <c r="EM6" s="624"/>
      <c r="EN6" s="624"/>
      <c r="EO6" s="624"/>
      <c r="EP6" s="624"/>
      <c r="EQ6" s="624"/>
      <c r="ER6" s="625"/>
      <c r="ES6" s="623" t="s">
        <v>18</v>
      </c>
      <c r="ET6" s="624"/>
      <c r="EU6" s="624"/>
      <c r="EV6" s="624"/>
      <c r="EW6" s="624"/>
      <c r="EX6" s="624"/>
      <c r="EY6" s="624"/>
      <c r="EZ6" s="624"/>
      <c r="FA6" s="624"/>
      <c r="FB6" s="624"/>
      <c r="FC6" s="624"/>
      <c r="FD6" s="624"/>
      <c r="FE6" s="625"/>
      <c r="FL6" s="22">
        <v>2021</v>
      </c>
      <c r="FM6" s="22">
        <v>2022</v>
      </c>
      <c r="FN6" s="22">
        <v>2023</v>
      </c>
    </row>
    <row r="7" spans="1:170" ht="12.75" customHeight="1">
      <c r="A7" s="456">
        <v>1</v>
      </c>
      <c r="B7" s="454"/>
      <c r="C7" s="454"/>
      <c r="D7" s="454"/>
      <c r="E7" s="454"/>
      <c r="F7" s="454"/>
      <c r="G7" s="454"/>
      <c r="H7" s="455"/>
      <c r="I7" s="451" t="s">
        <v>197</v>
      </c>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605" t="s">
        <v>198</v>
      </c>
      <c r="CO7" s="606"/>
      <c r="CP7" s="606"/>
      <c r="CQ7" s="606"/>
      <c r="CR7" s="606"/>
      <c r="CS7" s="606"/>
      <c r="CT7" s="606"/>
      <c r="CU7" s="607"/>
      <c r="CV7" s="568" t="s">
        <v>43</v>
      </c>
      <c r="CW7" s="566"/>
      <c r="CX7" s="566"/>
      <c r="CY7" s="566"/>
      <c r="CZ7" s="566"/>
      <c r="DA7" s="566"/>
      <c r="DB7" s="566"/>
      <c r="DC7" s="566"/>
      <c r="DD7" s="566"/>
      <c r="DE7" s="567"/>
      <c r="DF7" s="698">
        <f>DF8+DF9+DF10+DF11</f>
        <v>35221238.393138915</v>
      </c>
      <c r="DG7" s="699"/>
      <c r="DH7" s="699"/>
      <c r="DI7" s="699"/>
      <c r="DJ7" s="699"/>
      <c r="DK7" s="699"/>
      <c r="DL7" s="699"/>
      <c r="DM7" s="699"/>
      <c r="DN7" s="699"/>
      <c r="DO7" s="699"/>
      <c r="DP7" s="699"/>
      <c r="DQ7" s="699"/>
      <c r="DR7" s="700"/>
      <c r="DS7" s="698">
        <f>DS8+DS9+DS10+DS11</f>
        <v>34825243.37680024</v>
      </c>
      <c r="DT7" s="699"/>
      <c r="DU7" s="699"/>
      <c r="DV7" s="699"/>
      <c r="DW7" s="699"/>
      <c r="DX7" s="699"/>
      <c r="DY7" s="699"/>
      <c r="DZ7" s="699"/>
      <c r="EA7" s="699"/>
      <c r="EB7" s="699"/>
      <c r="EC7" s="699"/>
      <c r="ED7" s="699"/>
      <c r="EE7" s="700"/>
      <c r="EF7" s="698">
        <f>EF8+EF9+EF10+EF11</f>
        <v>36331966.37680025</v>
      </c>
      <c r="EG7" s="699"/>
      <c r="EH7" s="699"/>
      <c r="EI7" s="699"/>
      <c r="EJ7" s="699"/>
      <c r="EK7" s="699"/>
      <c r="EL7" s="699"/>
      <c r="EM7" s="699"/>
      <c r="EN7" s="699"/>
      <c r="EO7" s="699"/>
      <c r="EP7" s="699"/>
      <c r="EQ7" s="699"/>
      <c r="ER7" s="700"/>
      <c r="ES7" s="698"/>
      <c r="ET7" s="699"/>
      <c r="EU7" s="699"/>
      <c r="EV7" s="699"/>
      <c r="EW7" s="699"/>
      <c r="EX7" s="699"/>
      <c r="EY7" s="699"/>
      <c r="EZ7" s="699"/>
      <c r="FA7" s="699"/>
      <c r="FB7" s="699"/>
      <c r="FC7" s="699"/>
      <c r="FD7" s="699"/>
      <c r="FE7" s="701"/>
      <c r="FF7" s="26">
        <f>DF7-'стр.1_4'!DF96</f>
        <v>0</v>
      </c>
      <c r="FI7" s="22" t="s">
        <v>488</v>
      </c>
      <c r="FL7" s="26">
        <f>DF7-'стр.1_4'!DF96</f>
        <v>0</v>
      </c>
      <c r="FM7" s="26">
        <f>DS7-'стр.1_4'!DS96</f>
        <v>0</v>
      </c>
      <c r="FN7" s="26">
        <f>EF7-'стр.1_4'!EF96</f>
        <v>0</v>
      </c>
    </row>
    <row r="8" spans="1:163" ht="90" customHeight="1">
      <c r="A8" s="431" t="s">
        <v>199</v>
      </c>
      <c r="B8" s="429"/>
      <c r="C8" s="429"/>
      <c r="D8" s="429"/>
      <c r="E8" s="429"/>
      <c r="F8" s="429"/>
      <c r="G8" s="429"/>
      <c r="H8" s="430"/>
      <c r="I8" s="478" t="s">
        <v>201</v>
      </c>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28" t="s">
        <v>200</v>
      </c>
      <c r="CO8" s="429"/>
      <c r="CP8" s="429"/>
      <c r="CQ8" s="429"/>
      <c r="CR8" s="429"/>
      <c r="CS8" s="429"/>
      <c r="CT8" s="429"/>
      <c r="CU8" s="430"/>
      <c r="CV8" s="431" t="s">
        <v>43</v>
      </c>
      <c r="CW8" s="429"/>
      <c r="CX8" s="429"/>
      <c r="CY8" s="429"/>
      <c r="CZ8" s="429"/>
      <c r="DA8" s="429"/>
      <c r="DB8" s="429"/>
      <c r="DC8" s="429"/>
      <c r="DD8" s="429"/>
      <c r="DE8" s="430"/>
      <c r="DF8" s="457"/>
      <c r="DG8" s="458"/>
      <c r="DH8" s="458"/>
      <c r="DI8" s="458"/>
      <c r="DJ8" s="458"/>
      <c r="DK8" s="458"/>
      <c r="DL8" s="458"/>
      <c r="DM8" s="458"/>
      <c r="DN8" s="458"/>
      <c r="DO8" s="458"/>
      <c r="DP8" s="458"/>
      <c r="DQ8" s="458"/>
      <c r="DR8" s="459"/>
      <c r="DS8" s="413"/>
      <c r="DT8" s="414"/>
      <c r="DU8" s="414"/>
      <c r="DV8" s="414"/>
      <c r="DW8" s="414"/>
      <c r="DX8" s="414"/>
      <c r="DY8" s="414"/>
      <c r="DZ8" s="414"/>
      <c r="EA8" s="414"/>
      <c r="EB8" s="414"/>
      <c r="EC8" s="414"/>
      <c r="ED8" s="414"/>
      <c r="EE8" s="450"/>
      <c r="EF8" s="413"/>
      <c r="EG8" s="414"/>
      <c r="EH8" s="414"/>
      <c r="EI8" s="414"/>
      <c r="EJ8" s="414"/>
      <c r="EK8" s="414"/>
      <c r="EL8" s="414"/>
      <c r="EM8" s="414"/>
      <c r="EN8" s="414"/>
      <c r="EO8" s="414"/>
      <c r="EP8" s="414"/>
      <c r="EQ8" s="414"/>
      <c r="ER8" s="450"/>
      <c r="ES8" s="413"/>
      <c r="ET8" s="414"/>
      <c r="EU8" s="414"/>
      <c r="EV8" s="414"/>
      <c r="EW8" s="414"/>
      <c r="EX8" s="414"/>
      <c r="EY8" s="414"/>
      <c r="EZ8" s="414"/>
      <c r="FA8" s="414"/>
      <c r="FB8" s="414"/>
      <c r="FC8" s="414"/>
      <c r="FD8" s="414"/>
      <c r="FE8" s="415"/>
      <c r="FF8" s="26">
        <f>'Раздел  обоснование 2022сш'!F130+'Раздел  обоснование 2022сш'!G148+'Раздел  обоснование 2022сш'!E198+'Раздел  обоснование 2022сш'!D229+'Раздел  обоснование 2022сш'!E252+'Раздел  обоснование 2022сш'!E279+'Раздел  обоснование 2022сш'!E137+FG14+'Раздел  обоснование 2022сш'!D215</f>
        <v>35208323.12313892</v>
      </c>
      <c r="FG8" s="26">
        <f>FF8-FF9</f>
        <v>0</v>
      </c>
    </row>
    <row r="9" spans="1:165" ht="24" customHeight="1">
      <c r="A9" s="431" t="s">
        <v>202</v>
      </c>
      <c r="B9" s="429"/>
      <c r="C9" s="429"/>
      <c r="D9" s="429"/>
      <c r="E9" s="429"/>
      <c r="F9" s="429"/>
      <c r="G9" s="429"/>
      <c r="H9" s="430"/>
      <c r="I9" s="478" t="s">
        <v>204</v>
      </c>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79"/>
      <c r="CF9" s="479"/>
      <c r="CG9" s="479"/>
      <c r="CH9" s="479"/>
      <c r="CI9" s="479"/>
      <c r="CJ9" s="479"/>
      <c r="CK9" s="479"/>
      <c r="CL9" s="479"/>
      <c r="CM9" s="479"/>
      <c r="CN9" s="428" t="s">
        <v>203</v>
      </c>
      <c r="CO9" s="429"/>
      <c r="CP9" s="429"/>
      <c r="CQ9" s="429"/>
      <c r="CR9" s="429"/>
      <c r="CS9" s="429"/>
      <c r="CT9" s="429"/>
      <c r="CU9" s="430"/>
      <c r="CV9" s="431" t="s">
        <v>43</v>
      </c>
      <c r="CW9" s="429"/>
      <c r="CX9" s="429"/>
      <c r="CY9" s="429"/>
      <c r="CZ9" s="429"/>
      <c r="DA9" s="429"/>
      <c r="DB9" s="429"/>
      <c r="DC9" s="429"/>
      <c r="DD9" s="429"/>
      <c r="DE9" s="430"/>
      <c r="DF9" s="457"/>
      <c r="DG9" s="458"/>
      <c r="DH9" s="458"/>
      <c r="DI9" s="458"/>
      <c r="DJ9" s="458"/>
      <c r="DK9" s="458"/>
      <c r="DL9" s="458"/>
      <c r="DM9" s="458"/>
      <c r="DN9" s="458"/>
      <c r="DO9" s="458"/>
      <c r="DP9" s="458"/>
      <c r="DQ9" s="458"/>
      <c r="DR9" s="459"/>
      <c r="DS9" s="413"/>
      <c r="DT9" s="414"/>
      <c r="DU9" s="414"/>
      <c r="DV9" s="414"/>
      <c r="DW9" s="414"/>
      <c r="DX9" s="414"/>
      <c r="DY9" s="414"/>
      <c r="DZ9" s="414"/>
      <c r="EA9" s="414"/>
      <c r="EB9" s="414"/>
      <c r="EC9" s="414"/>
      <c r="ED9" s="414"/>
      <c r="EE9" s="450"/>
      <c r="EF9" s="413"/>
      <c r="EG9" s="414"/>
      <c r="EH9" s="414"/>
      <c r="EI9" s="414"/>
      <c r="EJ9" s="414"/>
      <c r="EK9" s="414"/>
      <c r="EL9" s="414"/>
      <c r="EM9" s="414"/>
      <c r="EN9" s="414"/>
      <c r="EO9" s="414"/>
      <c r="EP9" s="414"/>
      <c r="EQ9" s="414"/>
      <c r="ER9" s="450"/>
      <c r="ES9" s="413"/>
      <c r="ET9" s="414"/>
      <c r="EU9" s="414"/>
      <c r="EV9" s="414"/>
      <c r="EW9" s="414"/>
      <c r="EX9" s="414"/>
      <c r="EY9" s="414"/>
      <c r="EZ9" s="414"/>
      <c r="FA9" s="414"/>
      <c r="FB9" s="414"/>
      <c r="FC9" s="414"/>
      <c r="FD9" s="414"/>
      <c r="FE9" s="415"/>
      <c r="FF9" s="93">
        <f>FF14+FF17+FF24+FG14+DF10</f>
        <v>35208323.12313892</v>
      </c>
      <c r="FG9" s="42"/>
      <c r="FI9" s="42"/>
    </row>
    <row r="10" spans="1:165" ht="24" customHeight="1">
      <c r="A10" s="431" t="s">
        <v>205</v>
      </c>
      <c r="B10" s="429"/>
      <c r="C10" s="429"/>
      <c r="D10" s="429"/>
      <c r="E10" s="429"/>
      <c r="F10" s="429"/>
      <c r="G10" s="429"/>
      <c r="H10" s="430"/>
      <c r="I10" s="478" t="s">
        <v>209</v>
      </c>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c r="CK10" s="479"/>
      <c r="CL10" s="479"/>
      <c r="CM10" s="479"/>
      <c r="CN10" s="428" t="s">
        <v>207</v>
      </c>
      <c r="CO10" s="429"/>
      <c r="CP10" s="429"/>
      <c r="CQ10" s="429"/>
      <c r="CR10" s="429"/>
      <c r="CS10" s="429"/>
      <c r="CT10" s="429"/>
      <c r="CU10" s="430"/>
      <c r="CV10" s="431" t="s">
        <v>43</v>
      </c>
      <c r="CW10" s="429"/>
      <c r="CX10" s="429"/>
      <c r="CY10" s="429"/>
      <c r="CZ10" s="429"/>
      <c r="DA10" s="429"/>
      <c r="DB10" s="429"/>
      <c r="DC10" s="429"/>
      <c r="DD10" s="429"/>
      <c r="DE10" s="430"/>
      <c r="DF10" s="457">
        <f>'Раздел  обоснование 2022сш'!G148+'Раздел  обоснование 2022сш'!E166+'Раздел  обоснование 2022сш'!E167+'Раздел  обоснование 2022сш'!E168+'Раздел  обоснование 2022сш'!E170+'Раздел  обоснование 2022сш'!E171+'Раздел  обоснование 2022сш'!E172+'Раздел  обоснование 2022сш'!E174+'Раздел  обоснование 2022сш'!E175+'Раздел  обоснование 2022сш'!E176+'Раздел  обоснование 2022сш'!E177+'Раздел  обоснование 2022сш'!D203+'Раздел  обоснование 2022сш'!D204+'Раздел  обоснование 2022сш'!D209</f>
        <v>10069672.969999999</v>
      </c>
      <c r="DG10" s="458"/>
      <c r="DH10" s="458"/>
      <c r="DI10" s="458"/>
      <c r="DJ10" s="458"/>
      <c r="DK10" s="458"/>
      <c r="DL10" s="458"/>
      <c r="DM10" s="458"/>
      <c r="DN10" s="458"/>
      <c r="DO10" s="458"/>
      <c r="DP10" s="458"/>
      <c r="DQ10" s="458"/>
      <c r="DR10" s="459"/>
      <c r="DS10" s="457">
        <v>0</v>
      </c>
      <c r="DT10" s="458"/>
      <c r="DU10" s="458"/>
      <c r="DV10" s="458"/>
      <c r="DW10" s="458"/>
      <c r="DX10" s="458"/>
      <c r="DY10" s="458"/>
      <c r="DZ10" s="458"/>
      <c r="EA10" s="458"/>
      <c r="EB10" s="458"/>
      <c r="EC10" s="458"/>
      <c r="ED10" s="458"/>
      <c r="EE10" s="459"/>
      <c r="EF10" s="457">
        <v>0</v>
      </c>
      <c r="EG10" s="458"/>
      <c r="EH10" s="458"/>
      <c r="EI10" s="458"/>
      <c r="EJ10" s="458"/>
      <c r="EK10" s="458"/>
      <c r="EL10" s="458"/>
      <c r="EM10" s="458"/>
      <c r="EN10" s="458"/>
      <c r="EO10" s="458"/>
      <c r="EP10" s="458"/>
      <c r="EQ10" s="458"/>
      <c r="ER10" s="459"/>
      <c r="ES10" s="413"/>
      <c r="ET10" s="414"/>
      <c r="EU10" s="414"/>
      <c r="EV10" s="414"/>
      <c r="EW10" s="414"/>
      <c r="EX10" s="414"/>
      <c r="EY10" s="414"/>
      <c r="EZ10" s="414"/>
      <c r="FA10" s="414"/>
      <c r="FB10" s="414"/>
      <c r="FC10" s="414"/>
      <c r="FD10" s="414"/>
      <c r="FE10" s="415"/>
      <c r="FF10" s="24" t="s">
        <v>545</v>
      </c>
      <c r="FG10" s="43">
        <f>DF10</f>
        <v>10069672.969999999</v>
      </c>
      <c r="FI10" s="24"/>
    </row>
    <row r="11" spans="1:161" ht="24" customHeight="1">
      <c r="A11" s="431" t="s">
        <v>206</v>
      </c>
      <c r="B11" s="429"/>
      <c r="C11" s="429"/>
      <c r="D11" s="429"/>
      <c r="E11" s="429"/>
      <c r="F11" s="429"/>
      <c r="G11" s="429"/>
      <c r="H11" s="430"/>
      <c r="I11" s="478" t="s">
        <v>210</v>
      </c>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28" t="s">
        <v>208</v>
      </c>
      <c r="CO11" s="429"/>
      <c r="CP11" s="429"/>
      <c r="CQ11" s="429"/>
      <c r="CR11" s="429"/>
      <c r="CS11" s="429"/>
      <c r="CT11" s="429"/>
      <c r="CU11" s="430"/>
      <c r="CV11" s="431" t="s">
        <v>43</v>
      </c>
      <c r="CW11" s="429"/>
      <c r="CX11" s="429"/>
      <c r="CY11" s="429"/>
      <c r="CZ11" s="429"/>
      <c r="DA11" s="429"/>
      <c r="DB11" s="429"/>
      <c r="DC11" s="429"/>
      <c r="DD11" s="429"/>
      <c r="DE11" s="430"/>
      <c r="DF11" s="585">
        <f>DF12+DF15+DF22</f>
        <v>25151565.423138916</v>
      </c>
      <c r="DG11" s="586"/>
      <c r="DH11" s="586"/>
      <c r="DI11" s="586"/>
      <c r="DJ11" s="586"/>
      <c r="DK11" s="586"/>
      <c r="DL11" s="586"/>
      <c r="DM11" s="586"/>
      <c r="DN11" s="586"/>
      <c r="DO11" s="586"/>
      <c r="DP11" s="586"/>
      <c r="DQ11" s="586"/>
      <c r="DR11" s="587"/>
      <c r="DS11" s="585">
        <f>DS12+DS15+DS22</f>
        <v>34825243.37680024</v>
      </c>
      <c r="DT11" s="586"/>
      <c r="DU11" s="586"/>
      <c r="DV11" s="586"/>
      <c r="DW11" s="586"/>
      <c r="DX11" s="586"/>
      <c r="DY11" s="586"/>
      <c r="DZ11" s="586"/>
      <c r="EA11" s="586"/>
      <c r="EB11" s="586"/>
      <c r="EC11" s="586"/>
      <c r="ED11" s="586"/>
      <c r="EE11" s="587"/>
      <c r="EF11" s="585">
        <f>EF12+EF15+EF22</f>
        <v>36331966.37680025</v>
      </c>
      <c r="EG11" s="586"/>
      <c r="EH11" s="586"/>
      <c r="EI11" s="586"/>
      <c r="EJ11" s="586"/>
      <c r="EK11" s="586"/>
      <c r="EL11" s="586"/>
      <c r="EM11" s="586"/>
      <c r="EN11" s="586"/>
      <c r="EO11" s="586"/>
      <c r="EP11" s="586"/>
      <c r="EQ11" s="586"/>
      <c r="ER11" s="587"/>
      <c r="ES11" s="477"/>
      <c r="ET11" s="414"/>
      <c r="EU11" s="414"/>
      <c r="EV11" s="414"/>
      <c r="EW11" s="414"/>
      <c r="EX11" s="414"/>
      <c r="EY11" s="414"/>
      <c r="EZ11" s="414"/>
      <c r="FA11" s="414"/>
      <c r="FB11" s="414"/>
      <c r="FC11" s="414"/>
      <c r="FD11" s="414"/>
      <c r="FE11" s="415"/>
    </row>
    <row r="12" spans="1:161" ht="34.5" customHeight="1">
      <c r="A12" s="431" t="s">
        <v>211</v>
      </c>
      <c r="B12" s="429"/>
      <c r="C12" s="429"/>
      <c r="D12" s="429"/>
      <c r="E12" s="429"/>
      <c r="F12" s="429"/>
      <c r="G12" s="429"/>
      <c r="H12" s="430"/>
      <c r="I12" s="444" t="s">
        <v>213</v>
      </c>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28" t="s">
        <v>212</v>
      </c>
      <c r="CO12" s="429"/>
      <c r="CP12" s="429"/>
      <c r="CQ12" s="429"/>
      <c r="CR12" s="429"/>
      <c r="CS12" s="429"/>
      <c r="CT12" s="429"/>
      <c r="CU12" s="430"/>
      <c r="CV12" s="431" t="s">
        <v>43</v>
      </c>
      <c r="CW12" s="429"/>
      <c r="CX12" s="429"/>
      <c r="CY12" s="429"/>
      <c r="CZ12" s="429"/>
      <c r="DA12" s="429"/>
      <c r="DB12" s="429"/>
      <c r="DC12" s="429"/>
      <c r="DD12" s="429"/>
      <c r="DE12" s="430"/>
      <c r="DF12" s="482">
        <f>DF13+DF14</f>
        <v>8982672.673138916</v>
      </c>
      <c r="DG12" s="483"/>
      <c r="DH12" s="483"/>
      <c r="DI12" s="483"/>
      <c r="DJ12" s="483"/>
      <c r="DK12" s="483"/>
      <c r="DL12" s="483"/>
      <c r="DM12" s="483"/>
      <c r="DN12" s="483"/>
      <c r="DO12" s="483"/>
      <c r="DP12" s="483"/>
      <c r="DQ12" s="483"/>
      <c r="DR12" s="484"/>
      <c r="DS12" s="477">
        <f>DS13+DS14</f>
        <v>22278932.619999997</v>
      </c>
      <c r="DT12" s="414"/>
      <c r="DU12" s="414"/>
      <c r="DV12" s="414"/>
      <c r="DW12" s="414"/>
      <c r="DX12" s="414"/>
      <c r="DY12" s="414"/>
      <c r="DZ12" s="414"/>
      <c r="EA12" s="414"/>
      <c r="EB12" s="414"/>
      <c r="EC12" s="414"/>
      <c r="ED12" s="414"/>
      <c r="EE12" s="450"/>
      <c r="EF12" s="477">
        <f>EF13+EF14</f>
        <v>23785655.62</v>
      </c>
      <c r="EG12" s="414"/>
      <c r="EH12" s="414"/>
      <c r="EI12" s="414"/>
      <c r="EJ12" s="414"/>
      <c r="EK12" s="414"/>
      <c r="EL12" s="414"/>
      <c r="EM12" s="414"/>
      <c r="EN12" s="414"/>
      <c r="EO12" s="414"/>
      <c r="EP12" s="414"/>
      <c r="EQ12" s="414"/>
      <c r="ER12" s="450"/>
      <c r="ES12" s="477"/>
      <c r="ET12" s="414"/>
      <c r="EU12" s="414"/>
      <c r="EV12" s="414"/>
      <c r="EW12" s="414"/>
      <c r="EX12" s="414"/>
      <c r="EY12" s="414"/>
      <c r="EZ12" s="414"/>
      <c r="FA12" s="414"/>
      <c r="FB12" s="414"/>
      <c r="FC12" s="414"/>
      <c r="FD12" s="414"/>
      <c r="FE12" s="415"/>
    </row>
    <row r="13" spans="1:162" ht="24" customHeight="1">
      <c r="A13" s="431" t="s">
        <v>214</v>
      </c>
      <c r="B13" s="429"/>
      <c r="C13" s="429"/>
      <c r="D13" s="429"/>
      <c r="E13" s="429"/>
      <c r="F13" s="429"/>
      <c r="G13" s="429"/>
      <c r="H13" s="430"/>
      <c r="I13" s="465" t="s">
        <v>215</v>
      </c>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28" t="s">
        <v>216</v>
      </c>
      <c r="CO13" s="429"/>
      <c r="CP13" s="429"/>
      <c r="CQ13" s="429"/>
      <c r="CR13" s="429"/>
      <c r="CS13" s="429"/>
      <c r="CT13" s="429"/>
      <c r="CU13" s="430"/>
      <c r="CV13" s="431" t="s">
        <v>43</v>
      </c>
      <c r="CW13" s="429"/>
      <c r="CX13" s="429"/>
      <c r="CY13" s="429"/>
      <c r="CZ13" s="429"/>
      <c r="DA13" s="429"/>
      <c r="DB13" s="429"/>
      <c r="DC13" s="429"/>
      <c r="DD13" s="429"/>
      <c r="DE13" s="430"/>
      <c r="DF13" s="477"/>
      <c r="DG13" s="414"/>
      <c r="DH13" s="414"/>
      <c r="DI13" s="414"/>
      <c r="DJ13" s="414"/>
      <c r="DK13" s="414"/>
      <c r="DL13" s="414"/>
      <c r="DM13" s="414"/>
      <c r="DN13" s="414"/>
      <c r="DO13" s="414"/>
      <c r="DP13" s="414"/>
      <c r="DQ13" s="414"/>
      <c r="DR13" s="450"/>
      <c r="DS13" s="413"/>
      <c r="DT13" s="414"/>
      <c r="DU13" s="414"/>
      <c r="DV13" s="414"/>
      <c r="DW13" s="414"/>
      <c r="DX13" s="414"/>
      <c r="DY13" s="414"/>
      <c r="DZ13" s="414"/>
      <c r="EA13" s="414"/>
      <c r="EB13" s="414"/>
      <c r="EC13" s="414"/>
      <c r="ED13" s="414"/>
      <c r="EE13" s="450"/>
      <c r="EF13" s="413"/>
      <c r="EG13" s="414"/>
      <c r="EH13" s="414"/>
      <c r="EI13" s="414"/>
      <c r="EJ13" s="414"/>
      <c r="EK13" s="414"/>
      <c r="EL13" s="414"/>
      <c r="EM13" s="414"/>
      <c r="EN13" s="414"/>
      <c r="EO13" s="414"/>
      <c r="EP13" s="414"/>
      <c r="EQ13" s="414"/>
      <c r="ER13" s="450"/>
      <c r="ES13" s="413"/>
      <c r="ET13" s="414"/>
      <c r="EU13" s="414"/>
      <c r="EV13" s="414"/>
      <c r="EW13" s="414"/>
      <c r="EX13" s="414"/>
      <c r="EY13" s="414"/>
      <c r="EZ13" s="414"/>
      <c r="FA13" s="414"/>
      <c r="FB13" s="414"/>
      <c r="FC13" s="414"/>
      <c r="FD13" s="414"/>
      <c r="FE13" s="415"/>
      <c r="FF13" s="22" t="s">
        <v>494</v>
      </c>
    </row>
    <row r="14" spans="1:163" ht="12.75" customHeight="1">
      <c r="A14" s="431" t="s">
        <v>217</v>
      </c>
      <c r="B14" s="429"/>
      <c r="C14" s="429"/>
      <c r="D14" s="429"/>
      <c r="E14" s="429"/>
      <c r="F14" s="429"/>
      <c r="G14" s="429"/>
      <c r="H14" s="430"/>
      <c r="I14" s="465" t="s">
        <v>218</v>
      </c>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466"/>
      <c r="CL14" s="466"/>
      <c r="CM14" s="466"/>
      <c r="CN14" s="428" t="s">
        <v>219</v>
      </c>
      <c r="CO14" s="429"/>
      <c r="CP14" s="429"/>
      <c r="CQ14" s="429"/>
      <c r="CR14" s="429"/>
      <c r="CS14" s="429"/>
      <c r="CT14" s="429"/>
      <c r="CU14" s="430"/>
      <c r="CV14" s="431" t="s">
        <v>43</v>
      </c>
      <c r="CW14" s="429"/>
      <c r="CX14" s="429"/>
      <c r="CY14" s="429"/>
      <c r="CZ14" s="429"/>
      <c r="DA14" s="429"/>
      <c r="DB14" s="429"/>
      <c r="DC14" s="429"/>
      <c r="DD14" s="429"/>
      <c r="DE14" s="430"/>
      <c r="DF14" s="482">
        <f>'Раздел  обоснование 2022сш'!F130+'Раздел  обоснование 2022сш'!G148+'Раздел  обоснование 2022сш'!E186+'Раздел  обоснование 2022сш'!D221+'Раздел  обоснование 2022сш'!E245+'Раздел  обоснование 2022сш'!E265-DF10+'Раздел  обоснование 2022сш'!D215</f>
        <v>8982672.673138916</v>
      </c>
      <c r="DG14" s="483"/>
      <c r="DH14" s="483"/>
      <c r="DI14" s="483"/>
      <c r="DJ14" s="483"/>
      <c r="DK14" s="483"/>
      <c r="DL14" s="483"/>
      <c r="DM14" s="483"/>
      <c r="DN14" s="483"/>
      <c r="DO14" s="483"/>
      <c r="DP14" s="483"/>
      <c r="DQ14" s="483"/>
      <c r="DR14" s="484"/>
      <c r="DS14" s="477">
        <f>'Раздел  обоснование 2023сш '!F94+'Раздел  обоснование 2023сш '!E140+'Раздел  обоснование 2023сш '!D162+'Раздел  обоснование 2023сш '!E185+'Раздел  обоснование 2023сш '!E204+'Раздел  обоснование 2023сш '!G111</f>
        <v>22278932.619999997</v>
      </c>
      <c r="DT14" s="414"/>
      <c r="DU14" s="414"/>
      <c r="DV14" s="414"/>
      <c r="DW14" s="414"/>
      <c r="DX14" s="414"/>
      <c r="DY14" s="414"/>
      <c r="DZ14" s="414"/>
      <c r="EA14" s="414"/>
      <c r="EB14" s="414"/>
      <c r="EC14" s="414"/>
      <c r="ED14" s="414"/>
      <c r="EE14" s="450"/>
      <c r="EF14" s="477">
        <f>'Раздел  обоснование 2024сш'!F94+'Раздел  обоснование 2024сш'!G112+'Раздел  обоснование 2024сш'!E141+'Раздел  обоснование 2024сш'!D163+'Раздел  обоснование 2024сш'!E187+'Раздел  обоснование 2024сш'!E206</f>
        <v>23785655.62</v>
      </c>
      <c r="EG14" s="414"/>
      <c r="EH14" s="414"/>
      <c r="EI14" s="414"/>
      <c r="EJ14" s="414"/>
      <c r="EK14" s="414"/>
      <c r="EL14" s="414"/>
      <c r="EM14" s="414"/>
      <c r="EN14" s="414"/>
      <c r="EO14" s="414"/>
      <c r="EP14" s="414"/>
      <c r="EQ14" s="414"/>
      <c r="ER14" s="450"/>
      <c r="ES14" s="413"/>
      <c r="ET14" s="414"/>
      <c r="EU14" s="414"/>
      <c r="EV14" s="414"/>
      <c r="EW14" s="414"/>
      <c r="EX14" s="414"/>
      <c r="EY14" s="414"/>
      <c r="EZ14" s="414"/>
      <c r="FA14" s="414"/>
      <c r="FB14" s="414"/>
      <c r="FC14" s="414"/>
      <c r="FD14" s="414"/>
      <c r="FE14" s="415"/>
      <c r="FF14" s="26">
        <f>'Раздел  обоснование 2022сш'!F130+'Раздел  обоснование 2022сш'!G148+'Раздел  обоснование 2022сш'!E186+'Раздел  обоснование 2022сш'!D221+'Раздел  обоснование 2022сш'!E245+'Раздел  обоснование 2022сш'!E265+'Раздел  обоснование 2022сш'!D215-DF10</f>
        <v>8982672.673138916</v>
      </c>
      <c r="FG14" s="26">
        <f>DF14-FF14</f>
        <v>0</v>
      </c>
    </row>
    <row r="15" spans="1:163" ht="24" customHeight="1">
      <c r="A15" s="431" t="s">
        <v>220</v>
      </c>
      <c r="B15" s="429"/>
      <c r="C15" s="429"/>
      <c r="D15" s="429"/>
      <c r="E15" s="429"/>
      <c r="F15" s="429"/>
      <c r="G15" s="429"/>
      <c r="H15" s="430"/>
      <c r="I15" s="444" t="s">
        <v>221</v>
      </c>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28" t="s">
        <v>222</v>
      </c>
      <c r="CO15" s="429"/>
      <c r="CP15" s="429"/>
      <c r="CQ15" s="429"/>
      <c r="CR15" s="429"/>
      <c r="CS15" s="429"/>
      <c r="CT15" s="429"/>
      <c r="CU15" s="430"/>
      <c r="CV15" s="431" t="s">
        <v>43</v>
      </c>
      <c r="CW15" s="429"/>
      <c r="CX15" s="429"/>
      <c r="CY15" s="429"/>
      <c r="CZ15" s="429"/>
      <c r="DA15" s="429"/>
      <c r="DB15" s="429"/>
      <c r="DC15" s="429"/>
      <c r="DD15" s="429"/>
      <c r="DE15" s="430"/>
      <c r="DF15" s="477">
        <f>DF16+DF17</f>
        <v>12585667.16</v>
      </c>
      <c r="DG15" s="414"/>
      <c r="DH15" s="414"/>
      <c r="DI15" s="414"/>
      <c r="DJ15" s="414"/>
      <c r="DK15" s="414"/>
      <c r="DL15" s="414"/>
      <c r="DM15" s="414"/>
      <c r="DN15" s="414"/>
      <c r="DO15" s="414"/>
      <c r="DP15" s="414"/>
      <c r="DQ15" s="414"/>
      <c r="DR15" s="450"/>
      <c r="DS15" s="477">
        <f>DS16+DS17</f>
        <v>9681900</v>
      </c>
      <c r="DT15" s="414"/>
      <c r="DU15" s="414"/>
      <c r="DV15" s="414"/>
      <c r="DW15" s="414"/>
      <c r="DX15" s="414"/>
      <c r="DY15" s="414"/>
      <c r="DZ15" s="414"/>
      <c r="EA15" s="414"/>
      <c r="EB15" s="414"/>
      <c r="EC15" s="414"/>
      <c r="ED15" s="414"/>
      <c r="EE15" s="450"/>
      <c r="EF15" s="477">
        <f>EF16+EF17</f>
        <v>9681900</v>
      </c>
      <c r="EG15" s="414"/>
      <c r="EH15" s="414"/>
      <c r="EI15" s="414"/>
      <c r="EJ15" s="414"/>
      <c r="EK15" s="414"/>
      <c r="EL15" s="414"/>
      <c r="EM15" s="414"/>
      <c r="EN15" s="414"/>
      <c r="EO15" s="414"/>
      <c r="EP15" s="414"/>
      <c r="EQ15" s="414"/>
      <c r="ER15" s="450"/>
      <c r="ES15" s="477"/>
      <c r="ET15" s="414"/>
      <c r="EU15" s="414"/>
      <c r="EV15" s="414"/>
      <c r="EW15" s="414"/>
      <c r="EX15" s="414"/>
      <c r="EY15" s="414"/>
      <c r="EZ15" s="414"/>
      <c r="FA15" s="414"/>
      <c r="FB15" s="414"/>
      <c r="FC15" s="414"/>
      <c r="FD15" s="414"/>
      <c r="FE15" s="415"/>
      <c r="FF15" s="22" t="s">
        <v>428</v>
      </c>
      <c r="FG15" s="26"/>
    </row>
    <row r="16" spans="1:163" ht="24" customHeight="1">
      <c r="A16" s="431" t="s">
        <v>223</v>
      </c>
      <c r="B16" s="429"/>
      <c r="C16" s="429"/>
      <c r="D16" s="429"/>
      <c r="E16" s="429"/>
      <c r="F16" s="429"/>
      <c r="G16" s="429"/>
      <c r="H16" s="430"/>
      <c r="I16" s="465" t="s">
        <v>215</v>
      </c>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6"/>
      <c r="BP16" s="466"/>
      <c r="BQ16" s="466"/>
      <c r="BR16" s="466"/>
      <c r="BS16" s="466"/>
      <c r="BT16" s="466"/>
      <c r="BU16" s="466"/>
      <c r="BV16" s="466"/>
      <c r="BW16" s="466"/>
      <c r="BX16" s="466"/>
      <c r="BY16" s="466"/>
      <c r="BZ16" s="466"/>
      <c r="CA16" s="466"/>
      <c r="CB16" s="466"/>
      <c r="CC16" s="466"/>
      <c r="CD16" s="466"/>
      <c r="CE16" s="466"/>
      <c r="CF16" s="466"/>
      <c r="CG16" s="466"/>
      <c r="CH16" s="466"/>
      <c r="CI16" s="466"/>
      <c r="CJ16" s="466"/>
      <c r="CK16" s="466"/>
      <c r="CL16" s="466"/>
      <c r="CM16" s="466"/>
      <c r="CN16" s="428" t="s">
        <v>224</v>
      </c>
      <c r="CO16" s="429"/>
      <c r="CP16" s="429"/>
      <c r="CQ16" s="429"/>
      <c r="CR16" s="429"/>
      <c r="CS16" s="429"/>
      <c r="CT16" s="429"/>
      <c r="CU16" s="430"/>
      <c r="CV16" s="431" t="s">
        <v>43</v>
      </c>
      <c r="CW16" s="429"/>
      <c r="CX16" s="429"/>
      <c r="CY16" s="429"/>
      <c r="CZ16" s="429"/>
      <c r="DA16" s="429"/>
      <c r="DB16" s="429"/>
      <c r="DC16" s="429"/>
      <c r="DD16" s="429"/>
      <c r="DE16" s="430"/>
      <c r="DF16" s="477"/>
      <c r="DG16" s="414"/>
      <c r="DH16" s="414"/>
      <c r="DI16" s="414"/>
      <c r="DJ16" s="414"/>
      <c r="DK16" s="414"/>
      <c r="DL16" s="414"/>
      <c r="DM16" s="414"/>
      <c r="DN16" s="414"/>
      <c r="DO16" s="414"/>
      <c r="DP16" s="414"/>
      <c r="DQ16" s="414"/>
      <c r="DR16" s="450"/>
      <c r="DS16" s="413"/>
      <c r="DT16" s="414"/>
      <c r="DU16" s="414"/>
      <c r="DV16" s="414"/>
      <c r="DW16" s="414"/>
      <c r="DX16" s="414"/>
      <c r="DY16" s="414"/>
      <c r="DZ16" s="414"/>
      <c r="EA16" s="414"/>
      <c r="EB16" s="414"/>
      <c r="EC16" s="414"/>
      <c r="ED16" s="414"/>
      <c r="EE16" s="450"/>
      <c r="EF16" s="413"/>
      <c r="EG16" s="414"/>
      <c r="EH16" s="414"/>
      <c r="EI16" s="414"/>
      <c r="EJ16" s="414"/>
      <c r="EK16" s="414"/>
      <c r="EL16" s="414"/>
      <c r="EM16" s="414"/>
      <c r="EN16" s="414"/>
      <c r="EO16" s="414"/>
      <c r="EP16" s="414"/>
      <c r="EQ16" s="414"/>
      <c r="ER16" s="450"/>
      <c r="ES16" s="413"/>
      <c r="ET16" s="414"/>
      <c r="EU16" s="414"/>
      <c r="EV16" s="414"/>
      <c r="EW16" s="414"/>
      <c r="EX16" s="414"/>
      <c r="EY16" s="414"/>
      <c r="EZ16" s="414"/>
      <c r="FA16" s="414"/>
      <c r="FB16" s="414"/>
      <c r="FC16" s="414"/>
      <c r="FD16" s="414"/>
      <c r="FE16" s="415"/>
      <c r="FG16" s="26"/>
    </row>
    <row r="17" spans="1:163" ht="12.75" customHeight="1">
      <c r="A17" s="431" t="s">
        <v>225</v>
      </c>
      <c r="B17" s="429"/>
      <c r="C17" s="429"/>
      <c r="D17" s="429"/>
      <c r="E17" s="429"/>
      <c r="F17" s="429"/>
      <c r="G17" s="429"/>
      <c r="H17" s="430"/>
      <c r="I17" s="465" t="s">
        <v>218</v>
      </c>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6"/>
      <c r="BJ17" s="466"/>
      <c r="BK17" s="466"/>
      <c r="BL17" s="466"/>
      <c r="BM17" s="466"/>
      <c r="BN17" s="466"/>
      <c r="BO17" s="466"/>
      <c r="BP17" s="466"/>
      <c r="BQ17" s="466"/>
      <c r="BR17" s="466"/>
      <c r="BS17" s="466"/>
      <c r="BT17" s="466"/>
      <c r="BU17" s="466"/>
      <c r="BV17" s="466"/>
      <c r="BW17" s="466"/>
      <c r="BX17" s="466"/>
      <c r="BY17" s="466"/>
      <c r="BZ17" s="466"/>
      <c r="CA17" s="466"/>
      <c r="CB17" s="466"/>
      <c r="CC17" s="466"/>
      <c r="CD17" s="466"/>
      <c r="CE17" s="466"/>
      <c r="CF17" s="466"/>
      <c r="CG17" s="466"/>
      <c r="CH17" s="466"/>
      <c r="CI17" s="466"/>
      <c r="CJ17" s="466"/>
      <c r="CK17" s="466"/>
      <c r="CL17" s="466"/>
      <c r="CM17" s="466"/>
      <c r="CN17" s="428" t="s">
        <v>226</v>
      </c>
      <c r="CO17" s="429"/>
      <c r="CP17" s="429"/>
      <c r="CQ17" s="429"/>
      <c r="CR17" s="429"/>
      <c r="CS17" s="429"/>
      <c r="CT17" s="429"/>
      <c r="CU17" s="430"/>
      <c r="CV17" s="431" t="s">
        <v>43</v>
      </c>
      <c r="CW17" s="429"/>
      <c r="CX17" s="429"/>
      <c r="CY17" s="429"/>
      <c r="CZ17" s="429"/>
      <c r="DA17" s="429"/>
      <c r="DB17" s="429"/>
      <c r="DC17" s="429"/>
      <c r="DD17" s="429"/>
      <c r="DE17" s="430"/>
      <c r="DF17" s="477">
        <f>'Раздел  обоснование 2022сш'!E137+'Раздел  обоснование 2022сш'!E192+'Раздел  обоснование 2022сш'!D225+'Раздел  обоснование 2022сш'!E248+'Раздел  обоснование 2022сш'!E272</f>
        <v>12585667.16</v>
      </c>
      <c r="DG17" s="414"/>
      <c r="DH17" s="414"/>
      <c r="DI17" s="414"/>
      <c r="DJ17" s="414"/>
      <c r="DK17" s="414"/>
      <c r="DL17" s="414"/>
      <c r="DM17" s="414"/>
      <c r="DN17" s="414"/>
      <c r="DO17" s="414"/>
      <c r="DP17" s="414"/>
      <c r="DQ17" s="414"/>
      <c r="DR17" s="450"/>
      <c r="DS17" s="477">
        <f>'Раздел  обоснование 2023сш '!E206</f>
        <v>9681900</v>
      </c>
      <c r="DT17" s="414"/>
      <c r="DU17" s="414"/>
      <c r="DV17" s="414"/>
      <c r="DW17" s="414"/>
      <c r="DX17" s="414"/>
      <c r="DY17" s="414"/>
      <c r="DZ17" s="414"/>
      <c r="EA17" s="414"/>
      <c r="EB17" s="414"/>
      <c r="EC17" s="414"/>
      <c r="ED17" s="414"/>
      <c r="EE17" s="450"/>
      <c r="EF17" s="477">
        <f>'Раздел  обоснование 2024сш'!E208</f>
        <v>9681900</v>
      </c>
      <c r="EG17" s="414"/>
      <c r="EH17" s="414"/>
      <c r="EI17" s="414"/>
      <c r="EJ17" s="414"/>
      <c r="EK17" s="414"/>
      <c r="EL17" s="414"/>
      <c r="EM17" s="414"/>
      <c r="EN17" s="414"/>
      <c r="EO17" s="414"/>
      <c r="EP17" s="414"/>
      <c r="EQ17" s="414"/>
      <c r="ER17" s="450"/>
      <c r="ES17" s="413"/>
      <c r="ET17" s="414"/>
      <c r="EU17" s="414"/>
      <c r="EV17" s="414"/>
      <c r="EW17" s="414"/>
      <c r="EX17" s="414"/>
      <c r="EY17" s="414"/>
      <c r="EZ17" s="414"/>
      <c r="FA17" s="414"/>
      <c r="FB17" s="414"/>
      <c r="FC17" s="414"/>
      <c r="FD17" s="414"/>
      <c r="FE17" s="415"/>
      <c r="FF17" s="26">
        <f>'Раздел  обоснование 2022сш'!E192+'Раздел  обоснование 2022сш'!D225+'Раздел  обоснование 2022сш'!E248+'Раздел  обоснование 2022сш'!E272+'Раздел  обоснование 2022сш'!E137</f>
        <v>12585667.16</v>
      </c>
      <c r="FG17" s="26">
        <f>DF17-FF17</f>
        <v>0</v>
      </c>
    </row>
    <row r="18" spans="1:163" ht="12.75" customHeight="1">
      <c r="A18" s="431" t="s">
        <v>227</v>
      </c>
      <c r="B18" s="429"/>
      <c r="C18" s="429"/>
      <c r="D18" s="429"/>
      <c r="E18" s="429"/>
      <c r="F18" s="429"/>
      <c r="G18" s="429"/>
      <c r="H18" s="430"/>
      <c r="I18" s="444" t="s">
        <v>228</v>
      </c>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28" t="s">
        <v>229</v>
      </c>
      <c r="CO18" s="429"/>
      <c r="CP18" s="429"/>
      <c r="CQ18" s="429"/>
      <c r="CR18" s="429"/>
      <c r="CS18" s="429"/>
      <c r="CT18" s="429"/>
      <c r="CU18" s="430"/>
      <c r="CV18" s="431" t="s">
        <v>43</v>
      </c>
      <c r="CW18" s="429"/>
      <c r="CX18" s="429"/>
      <c r="CY18" s="429"/>
      <c r="CZ18" s="429"/>
      <c r="DA18" s="429"/>
      <c r="DB18" s="429"/>
      <c r="DC18" s="429"/>
      <c r="DD18" s="429"/>
      <c r="DE18" s="430"/>
      <c r="DF18" s="413"/>
      <c r="DG18" s="414"/>
      <c r="DH18" s="414"/>
      <c r="DI18" s="414"/>
      <c r="DJ18" s="414"/>
      <c r="DK18" s="414"/>
      <c r="DL18" s="414"/>
      <c r="DM18" s="414"/>
      <c r="DN18" s="414"/>
      <c r="DO18" s="414"/>
      <c r="DP18" s="414"/>
      <c r="DQ18" s="414"/>
      <c r="DR18" s="450"/>
      <c r="DS18" s="413"/>
      <c r="DT18" s="414"/>
      <c r="DU18" s="414"/>
      <c r="DV18" s="414"/>
      <c r="DW18" s="414"/>
      <c r="DX18" s="414"/>
      <c r="DY18" s="414"/>
      <c r="DZ18" s="414"/>
      <c r="EA18" s="414"/>
      <c r="EB18" s="414"/>
      <c r="EC18" s="414"/>
      <c r="ED18" s="414"/>
      <c r="EE18" s="450"/>
      <c r="EF18" s="413"/>
      <c r="EG18" s="414"/>
      <c r="EH18" s="414"/>
      <c r="EI18" s="414"/>
      <c r="EJ18" s="414"/>
      <c r="EK18" s="414"/>
      <c r="EL18" s="414"/>
      <c r="EM18" s="414"/>
      <c r="EN18" s="414"/>
      <c r="EO18" s="414"/>
      <c r="EP18" s="414"/>
      <c r="EQ18" s="414"/>
      <c r="ER18" s="450"/>
      <c r="ES18" s="413"/>
      <c r="ET18" s="414"/>
      <c r="EU18" s="414"/>
      <c r="EV18" s="414"/>
      <c r="EW18" s="414"/>
      <c r="EX18" s="414"/>
      <c r="EY18" s="414"/>
      <c r="EZ18" s="414"/>
      <c r="FA18" s="414"/>
      <c r="FB18" s="414"/>
      <c r="FC18" s="414"/>
      <c r="FD18" s="414"/>
      <c r="FE18" s="415"/>
      <c r="FG18" s="26"/>
    </row>
    <row r="19" spans="1:163" ht="11.25">
      <c r="A19" s="431" t="s">
        <v>230</v>
      </c>
      <c r="B19" s="429"/>
      <c r="C19" s="429"/>
      <c r="D19" s="429"/>
      <c r="E19" s="429"/>
      <c r="F19" s="429"/>
      <c r="G19" s="429"/>
      <c r="H19" s="430"/>
      <c r="I19" s="444" t="s">
        <v>231</v>
      </c>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28" t="s">
        <v>232</v>
      </c>
      <c r="CO19" s="429"/>
      <c r="CP19" s="429"/>
      <c r="CQ19" s="429"/>
      <c r="CR19" s="429"/>
      <c r="CS19" s="429"/>
      <c r="CT19" s="429"/>
      <c r="CU19" s="430"/>
      <c r="CV19" s="431" t="s">
        <v>43</v>
      </c>
      <c r="CW19" s="429"/>
      <c r="CX19" s="429"/>
      <c r="CY19" s="429"/>
      <c r="CZ19" s="429"/>
      <c r="DA19" s="429"/>
      <c r="DB19" s="429"/>
      <c r="DC19" s="429"/>
      <c r="DD19" s="429"/>
      <c r="DE19" s="430"/>
      <c r="DF19" s="413"/>
      <c r="DG19" s="414"/>
      <c r="DH19" s="414"/>
      <c r="DI19" s="414"/>
      <c r="DJ19" s="414"/>
      <c r="DK19" s="414"/>
      <c r="DL19" s="414"/>
      <c r="DM19" s="414"/>
      <c r="DN19" s="414"/>
      <c r="DO19" s="414"/>
      <c r="DP19" s="414"/>
      <c r="DQ19" s="414"/>
      <c r="DR19" s="450"/>
      <c r="DS19" s="413"/>
      <c r="DT19" s="414"/>
      <c r="DU19" s="414"/>
      <c r="DV19" s="414"/>
      <c r="DW19" s="414"/>
      <c r="DX19" s="414"/>
      <c r="DY19" s="414"/>
      <c r="DZ19" s="414"/>
      <c r="EA19" s="414"/>
      <c r="EB19" s="414"/>
      <c r="EC19" s="414"/>
      <c r="ED19" s="414"/>
      <c r="EE19" s="450"/>
      <c r="EF19" s="413"/>
      <c r="EG19" s="414"/>
      <c r="EH19" s="414"/>
      <c r="EI19" s="414"/>
      <c r="EJ19" s="414"/>
      <c r="EK19" s="414"/>
      <c r="EL19" s="414"/>
      <c r="EM19" s="414"/>
      <c r="EN19" s="414"/>
      <c r="EO19" s="414"/>
      <c r="EP19" s="414"/>
      <c r="EQ19" s="414"/>
      <c r="ER19" s="450"/>
      <c r="ES19" s="413"/>
      <c r="ET19" s="414"/>
      <c r="EU19" s="414"/>
      <c r="EV19" s="414"/>
      <c r="EW19" s="414"/>
      <c r="EX19" s="414"/>
      <c r="EY19" s="414"/>
      <c r="EZ19" s="414"/>
      <c r="FA19" s="414"/>
      <c r="FB19" s="414"/>
      <c r="FC19" s="414"/>
      <c r="FD19" s="414"/>
      <c r="FE19" s="415"/>
      <c r="FG19" s="26"/>
    </row>
    <row r="20" spans="1:163" ht="24" customHeight="1">
      <c r="A20" s="431" t="s">
        <v>233</v>
      </c>
      <c r="B20" s="429"/>
      <c r="C20" s="429"/>
      <c r="D20" s="429"/>
      <c r="E20" s="429"/>
      <c r="F20" s="429"/>
      <c r="G20" s="429"/>
      <c r="H20" s="430"/>
      <c r="I20" s="465" t="s">
        <v>215</v>
      </c>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6"/>
      <c r="BJ20" s="466"/>
      <c r="BK20" s="466"/>
      <c r="BL20" s="466"/>
      <c r="BM20" s="466"/>
      <c r="BN20" s="466"/>
      <c r="BO20" s="466"/>
      <c r="BP20" s="466"/>
      <c r="BQ20" s="466"/>
      <c r="BR20" s="466"/>
      <c r="BS20" s="466"/>
      <c r="BT20" s="466"/>
      <c r="BU20" s="466"/>
      <c r="BV20" s="466"/>
      <c r="BW20" s="466"/>
      <c r="BX20" s="466"/>
      <c r="BY20" s="466"/>
      <c r="BZ20" s="466"/>
      <c r="CA20" s="466"/>
      <c r="CB20" s="466"/>
      <c r="CC20" s="466"/>
      <c r="CD20" s="466"/>
      <c r="CE20" s="466"/>
      <c r="CF20" s="466"/>
      <c r="CG20" s="466"/>
      <c r="CH20" s="466"/>
      <c r="CI20" s="466"/>
      <c r="CJ20" s="466"/>
      <c r="CK20" s="466"/>
      <c r="CL20" s="466"/>
      <c r="CM20" s="466"/>
      <c r="CN20" s="428" t="s">
        <v>234</v>
      </c>
      <c r="CO20" s="429"/>
      <c r="CP20" s="429"/>
      <c r="CQ20" s="429"/>
      <c r="CR20" s="429"/>
      <c r="CS20" s="429"/>
      <c r="CT20" s="429"/>
      <c r="CU20" s="430"/>
      <c r="CV20" s="431" t="s">
        <v>43</v>
      </c>
      <c r="CW20" s="429"/>
      <c r="CX20" s="429"/>
      <c r="CY20" s="429"/>
      <c r="CZ20" s="429"/>
      <c r="DA20" s="429"/>
      <c r="DB20" s="429"/>
      <c r="DC20" s="429"/>
      <c r="DD20" s="429"/>
      <c r="DE20" s="430"/>
      <c r="DF20" s="413"/>
      <c r="DG20" s="414"/>
      <c r="DH20" s="414"/>
      <c r="DI20" s="414"/>
      <c r="DJ20" s="414"/>
      <c r="DK20" s="414"/>
      <c r="DL20" s="414"/>
      <c r="DM20" s="414"/>
      <c r="DN20" s="414"/>
      <c r="DO20" s="414"/>
      <c r="DP20" s="414"/>
      <c r="DQ20" s="414"/>
      <c r="DR20" s="450"/>
      <c r="DS20" s="413"/>
      <c r="DT20" s="414"/>
      <c r="DU20" s="414"/>
      <c r="DV20" s="414"/>
      <c r="DW20" s="414"/>
      <c r="DX20" s="414"/>
      <c r="DY20" s="414"/>
      <c r="DZ20" s="414"/>
      <c r="EA20" s="414"/>
      <c r="EB20" s="414"/>
      <c r="EC20" s="414"/>
      <c r="ED20" s="414"/>
      <c r="EE20" s="450"/>
      <c r="EF20" s="413"/>
      <c r="EG20" s="414"/>
      <c r="EH20" s="414"/>
      <c r="EI20" s="414"/>
      <c r="EJ20" s="414"/>
      <c r="EK20" s="414"/>
      <c r="EL20" s="414"/>
      <c r="EM20" s="414"/>
      <c r="EN20" s="414"/>
      <c r="EO20" s="414"/>
      <c r="EP20" s="414"/>
      <c r="EQ20" s="414"/>
      <c r="ER20" s="450"/>
      <c r="ES20" s="413"/>
      <c r="ET20" s="414"/>
      <c r="EU20" s="414"/>
      <c r="EV20" s="414"/>
      <c r="EW20" s="414"/>
      <c r="EX20" s="414"/>
      <c r="EY20" s="414"/>
      <c r="EZ20" s="414"/>
      <c r="FA20" s="414"/>
      <c r="FB20" s="414"/>
      <c r="FC20" s="414"/>
      <c r="FD20" s="414"/>
      <c r="FE20" s="415"/>
      <c r="FG20" s="26"/>
    </row>
    <row r="21" spans="1:163" ht="12.75" customHeight="1">
      <c r="A21" s="431" t="s">
        <v>235</v>
      </c>
      <c r="B21" s="429"/>
      <c r="C21" s="429"/>
      <c r="D21" s="429"/>
      <c r="E21" s="429"/>
      <c r="F21" s="429"/>
      <c r="G21" s="429"/>
      <c r="H21" s="430"/>
      <c r="I21" s="465" t="s">
        <v>218</v>
      </c>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6"/>
      <c r="BJ21" s="466"/>
      <c r="BK21" s="466"/>
      <c r="BL21" s="466"/>
      <c r="BM21" s="466"/>
      <c r="BN21" s="466"/>
      <c r="BO21" s="466"/>
      <c r="BP21" s="466"/>
      <c r="BQ21" s="466"/>
      <c r="BR21" s="466"/>
      <c r="BS21" s="466"/>
      <c r="BT21" s="466"/>
      <c r="BU21" s="466"/>
      <c r="BV21" s="466"/>
      <c r="BW21" s="466"/>
      <c r="BX21" s="466"/>
      <c r="BY21" s="466"/>
      <c r="BZ21" s="466"/>
      <c r="CA21" s="466"/>
      <c r="CB21" s="466"/>
      <c r="CC21" s="466"/>
      <c r="CD21" s="466"/>
      <c r="CE21" s="466"/>
      <c r="CF21" s="466"/>
      <c r="CG21" s="466"/>
      <c r="CH21" s="466"/>
      <c r="CI21" s="466"/>
      <c r="CJ21" s="466"/>
      <c r="CK21" s="466"/>
      <c r="CL21" s="466"/>
      <c r="CM21" s="466"/>
      <c r="CN21" s="428" t="s">
        <v>236</v>
      </c>
      <c r="CO21" s="429"/>
      <c r="CP21" s="429"/>
      <c r="CQ21" s="429"/>
      <c r="CR21" s="429"/>
      <c r="CS21" s="429"/>
      <c r="CT21" s="429"/>
      <c r="CU21" s="430"/>
      <c r="CV21" s="431" t="s">
        <v>43</v>
      </c>
      <c r="CW21" s="429"/>
      <c r="CX21" s="429"/>
      <c r="CY21" s="429"/>
      <c r="CZ21" s="429"/>
      <c r="DA21" s="429"/>
      <c r="DB21" s="429"/>
      <c r="DC21" s="429"/>
      <c r="DD21" s="429"/>
      <c r="DE21" s="430"/>
      <c r="DF21" s="413"/>
      <c r="DG21" s="414"/>
      <c r="DH21" s="414"/>
      <c r="DI21" s="414"/>
      <c r="DJ21" s="414"/>
      <c r="DK21" s="414"/>
      <c r="DL21" s="414"/>
      <c r="DM21" s="414"/>
      <c r="DN21" s="414"/>
      <c r="DO21" s="414"/>
      <c r="DP21" s="414"/>
      <c r="DQ21" s="414"/>
      <c r="DR21" s="450"/>
      <c r="DS21" s="413"/>
      <c r="DT21" s="414"/>
      <c r="DU21" s="414"/>
      <c r="DV21" s="414"/>
      <c r="DW21" s="414"/>
      <c r="DX21" s="414"/>
      <c r="DY21" s="414"/>
      <c r="DZ21" s="414"/>
      <c r="EA21" s="414"/>
      <c r="EB21" s="414"/>
      <c r="EC21" s="414"/>
      <c r="ED21" s="414"/>
      <c r="EE21" s="450"/>
      <c r="EF21" s="413"/>
      <c r="EG21" s="414"/>
      <c r="EH21" s="414"/>
      <c r="EI21" s="414"/>
      <c r="EJ21" s="414"/>
      <c r="EK21" s="414"/>
      <c r="EL21" s="414"/>
      <c r="EM21" s="414"/>
      <c r="EN21" s="414"/>
      <c r="EO21" s="414"/>
      <c r="EP21" s="414"/>
      <c r="EQ21" s="414"/>
      <c r="ER21" s="450"/>
      <c r="ES21" s="413"/>
      <c r="ET21" s="414"/>
      <c r="EU21" s="414"/>
      <c r="EV21" s="414"/>
      <c r="EW21" s="414"/>
      <c r="EX21" s="414"/>
      <c r="EY21" s="414"/>
      <c r="EZ21" s="414"/>
      <c r="FA21" s="414"/>
      <c r="FB21" s="414"/>
      <c r="FC21" s="414"/>
      <c r="FD21" s="414"/>
      <c r="FE21" s="415"/>
      <c r="FG21" s="26"/>
    </row>
    <row r="22" spans="1:163" ht="12" thickBot="1">
      <c r="A22" s="431" t="s">
        <v>237</v>
      </c>
      <c r="B22" s="429"/>
      <c r="C22" s="429"/>
      <c r="D22" s="429"/>
      <c r="E22" s="429"/>
      <c r="F22" s="429"/>
      <c r="G22" s="429"/>
      <c r="H22" s="430"/>
      <c r="I22" s="444" t="s">
        <v>238</v>
      </c>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6" t="s">
        <v>239</v>
      </c>
      <c r="CO22" s="447"/>
      <c r="CP22" s="447"/>
      <c r="CQ22" s="447"/>
      <c r="CR22" s="447"/>
      <c r="CS22" s="447"/>
      <c r="CT22" s="447"/>
      <c r="CU22" s="448"/>
      <c r="CV22" s="449" t="s">
        <v>43</v>
      </c>
      <c r="CW22" s="447"/>
      <c r="CX22" s="447"/>
      <c r="CY22" s="447"/>
      <c r="CZ22" s="447"/>
      <c r="DA22" s="447"/>
      <c r="DB22" s="447"/>
      <c r="DC22" s="447"/>
      <c r="DD22" s="447"/>
      <c r="DE22" s="448"/>
      <c r="DF22" s="498">
        <f>DF23+DF24</f>
        <v>3583225.59</v>
      </c>
      <c r="DG22" s="441"/>
      <c r="DH22" s="441"/>
      <c r="DI22" s="441"/>
      <c r="DJ22" s="441"/>
      <c r="DK22" s="441"/>
      <c r="DL22" s="441"/>
      <c r="DM22" s="441"/>
      <c r="DN22" s="441"/>
      <c r="DO22" s="441"/>
      <c r="DP22" s="441"/>
      <c r="DQ22" s="441"/>
      <c r="DR22" s="442"/>
      <c r="DS22" s="498">
        <f>DS23+DS24</f>
        <v>2864410.7568002422</v>
      </c>
      <c r="DT22" s="441"/>
      <c r="DU22" s="441"/>
      <c r="DV22" s="441"/>
      <c r="DW22" s="441"/>
      <c r="DX22" s="441"/>
      <c r="DY22" s="441"/>
      <c r="DZ22" s="441"/>
      <c r="EA22" s="441"/>
      <c r="EB22" s="441"/>
      <c r="EC22" s="441"/>
      <c r="ED22" s="441"/>
      <c r="EE22" s="442"/>
      <c r="EF22" s="498">
        <f>EF23+EF24</f>
        <v>2864410.7568002422</v>
      </c>
      <c r="EG22" s="441"/>
      <c r="EH22" s="441"/>
      <c r="EI22" s="441"/>
      <c r="EJ22" s="441"/>
      <c r="EK22" s="441"/>
      <c r="EL22" s="441"/>
      <c r="EM22" s="441"/>
      <c r="EN22" s="441"/>
      <c r="EO22" s="441"/>
      <c r="EP22" s="441"/>
      <c r="EQ22" s="441"/>
      <c r="ER22" s="442"/>
      <c r="ES22" s="498"/>
      <c r="ET22" s="441"/>
      <c r="EU22" s="441"/>
      <c r="EV22" s="441"/>
      <c r="EW22" s="441"/>
      <c r="EX22" s="441"/>
      <c r="EY22" s="441"/>
      <c r="EZ22" s="441"/>
      <c r="FA22" s="441"/>
      <c r="FB22" s="441"/>
      <c r="FC22" s="441"/>
      <c r="FD22" s="441"/>
      <c r="FE22" s="443"/>
      <c r="FF22" s="22" t="s">
        <v>495</v>
      </c>
      <c r="FG22" s="26"/>
    </row>
    <row r="23" spans="1:163" ht="24" customHeight="1">
      <c r="A23" s="431" t="s">
        <v>240</v>
      </c>
      <c r="B23" s="429"/>
      <c r="C23" s="429"/>
      <c r="D23" s="429"/>
      <c r="E23" s="429"/>
      <c r="F23" s="429"/>
      <c r="G23" s="429"/>
      <c r="H23" s="430"/>
      <c r="I23" s="465" t="s">
        <v>215</v>
      </c>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6"/>
      <c r="BB23" s="466"/>
      <c r="BC23" s="466"/>
      <c r="BD23" s="466"/>
      <c r="BE23" s="466"/>
      <c r="BF23" s="466"/>
      <c r="BG23" s="466"/>
      <c r="BH23" s="466"/>
      <c r="BI23" s="466"/>
      <c r="BJ23" s="466"/>
      <c r="BK23" s="466"/>
      <c r="BL23" s="466"/>
      <c r="BM23" s="466"/>
      <c r="BN23" s="466"/>
      <c r="BO23" s="466"/>
      <c r="BP23" s="466"/>
      <c r="BQ23" s="466"/>
      <c r="BR23" s="466"/>
      <c r="BS23" s="466"/>
      <c r="BT23" s="466"/>
      <c r="BU23" s="466"/>
      <c r="BV23" s="466"/>
      <c r="BW23" s="466"/>
      <c r="BX23" s="466"/>
      <c r="BY23" s="466"/>
      <c r="BZ23" s="466"/>
      <c r="CA23" s="466"/>
      <c r="CB23" s="466"/>
      <c r="CC23" s="466"/>
      <c r="CD23" s="466"/>
      <c r="CE23" s="466"/>
      <c r="CF23" s="466"/>
      <c r="CG23" s="466"/>
      <c r="CH23" s="466"/>
      <c r="CI23" s="466"/>
      <c r="CJ23" s="466"/>
      <c r="CK23" s="466"/>
      <c r="CL23" s="466"/>
      <c r="CM23" s="466"/>
      <c r="CN23" s="565" t="s">
        <v>241</v>
      </c>
      <c r="CO23" s="566"/>
      <c r="CP23" s="566"/>
      <c r="CQ23" s="566"/>
      <c r="CR23" s="566"/>
      <c r="CS23" s="566"/>
      <c r="CT23" s="566"/>
      <c r="CU23" s="567"/>
      <c r="CV23" s="568" t="s">
        <v>43</v>
      </c>
      <c r="CW23" s="566"/>
      <c r="CX23" s="566"/>
      <c r="CY23" s="566"/>
      <c r="CZ23" s="566"/>
      <c r="DA23" s="566"/>
      <c r="DB23" s="566"/>
      <c r="DC23" s="566"/>
      <c r="DD23" s="566"/>
      <c r="DE23" s="567"/>
      <c r="DF23" s="697"/>
      <c r="DG23" s="561"/>
      <c r="DH23" s="561"/>
      <c r="DI23" s="561"/>
      <c r="DJ23" s="561"/>
      <c r="DK23" s="561"/>
      <c r="DL23" s="561"/>
      <c r="DM23" s="561"/>
      <c r="DN23" s="561"/>
      <c r="DO23" s="561"/>
      <c r="DP23" s="561"/>
      <c r="DQ23" s="561"/>
      <c r="DR23" s="562"/>
      <c r="DS23" s="563"/>
      <c r="DT23" s="561"/>
      <c r="DU23" s="561"/>
      <c r="DV23" s="561"/>
      <c r="DW23" s="561"/>
      <c r="DX23" s="561"/>
      <c r="DY23" s="561"/>
      <c r="DZ23" s="561"/>
      <c r="EA23" s="561"/>
      <c r="EB23" s="561"/>
      <c r="EC23" s="561"/>
      <c r="ED23" s="561"/>
      <c r="EE23" s="562"/>
      <c r="EF23" s="563"/>
      <c r="EG23" s="561"/>
      <c r="EH23" s="561"/>
      <c r="EI23" s="561"/>
      <c r="EJ23" s="561"/>
      <c r="EK23" s="561"/>
      <c r="EL23" s="561"/>
      <c r="EM23" s="561"/>
      <c r="EN23" s="561"/>
      <c r="EO23" s="561"/>
      <c r="EP23" s="561"/>
      <c r="EQ23" s="561"/>
      <c r="ER23" s="562"/>
      <c r="ES23" s="563"/>
      <c r="ET23" s="561"/>
      <c r="EU23" s="561"/>
      <c r="EV23" s="561"/>
      <c r="EW23" s="561"/>
      <c r="EX23" s="561"/>
      <c r="EY23" s="561"/>
      <c r="EZ23" s="561"/>
      <c r="FA23" s="561"/>
      <c r="FB23" s="561"/>
      <c r="FC23" s="561"/>
      <c r="FD23" s="561"/>
      <c r="FE23" s="564"/>
      <c r="FG23" s="26"/>
    </row>
    <row r="24" spans="1:163" ht="11.25">
      <c r="A24" s="431" t="s">
        <v>242</v>
      </c>
      <c r="B24" s="429"/>
      <c r="C24" s="429"/>
      <c r="D24" s="429"/>
      <c r="E24" s="429"/>
      <c r="F24" s="429"/>
      <c r="G24" s="429"/>
      <c r="H24" s="430"/>
      <c r="I24" s="465" t="s">
        <v>243</v>
      </c>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6"/>
      <c r="BY24" s="466"/>
      <c r="BZ24" s="466"/>
      <c r="CA24" s="466"/>
      <c r="CB24" s="466"/>
      <c r="CC24" s="466"/>
      <c r="CD24" s="466"/>
      <c r="CE24" s="466"/>
      <c r="CF24" s="466"/>
      <c r="CG24" s="466"/>
      <c r="CH24" s="466"/>
      <c r="CI24" s="466"/>
      <c r="CJ24" s="466"/>
      <c r="CK24" s="466"/>
      <c r="CL24" s="466"/>
      <c r="CM24" s="466"/>
      <c r="CN24" s="428" t="s">
        <v>244</v>
      </c>
      <c r="CO24" s="429"/>
      <c r="CP24" s="429"/>
      <c r="CQ24" s="429"/>
      <c r="CR24" s="429"/>
      <c r="CS24" s="429"/>
      <c r="CT24" s="429"/>
      <c r="CU24" s="430"/>
      <c r="CV24" s="431" t="s">
        <v>43</v>
      </c>
      <c r="CW24" s="429"/>
      <c r="CX24" s="429"/>
      <c r="CY24" s="429"/>
      <c r="CZ24" s="429"/>
      <c r="DA24" s="429"/>
      <c r="DB24" s="429"/>
      <c r="DC24" s="429"/>
      <c r="DD24" s="429"/>
      <c r="DE24" s="430"/>
      <c r="DF24" s="477">
        <f>'Раздел  обоснование 2022сш'!E278+'Раздел  обоснование 2022сш'!E251+'Раздел  обоснование 2022сш'!D228+'Раздел  обоснование 2022сш'!E197+'Раздел  обоснование 2022сш'!G152</f>
        <v>3583225.59</v>
      </c>
      <c r="DG24" s="414"/>
      <c r="DH24" s="414"/>
      <c r="DI24" s="414"/>
      <c r="DJ24" s="414"/>
      <c r="DK24" s="414"/>
      <c r="DL24" s="414"/>
      <c r="DM24" s="414"/>
      <c r="DN24" s="414"/>
      <c r="DO24" s="414"/>
      <c r="DP24" s="414"/>
      <c r="DQ24" s="414"/>
      <c r="DR24" s="450"/>
      <c r="DS24" s="477">
        <f>'Раздел  обоснование 2023сш '!E147+'Раздел  обоснование 2023сш '!D169+'Раздел  обоснование 2023сш '!E191+'Раздел  обоснование 2023сш '!E213+'Раздел  обоснование 2023сш '!E212</f>
        <v>2864410.7568002422</v>
      </c>
      <c r="DT24" s="414"/>
      <c r="DU24" s="414"/>
      <c r="DV24" s="414"/>
      <c r="DW24" s="414"/>
      <c r="DX24" s="414"/>
      <c r="DY24" s="414"/>
      <c r="DZ24" s="414"/>
      <c r="EA24" s="414"/>
      <c r="EB24" s="414"/>
      <c r="EC24" s="414"/>
      <c r="ED24" s="414"/>
      <c r="EE24" s="450"/>
      <c r="EF24" s="477">
        <f>'Раздел  обоснование 2024сш'!E148+'Раздел  обоснование 2024сш'!D170+'Раздел  обоснование 2024сш'!E193+'Раздел  обоснование 2024сш'!E214+'Раздел  обоснование 2024сш'!E215</f>
        <v>2864410.7568002422</v>
      </c>
      <c r="EG24" s="414"/>
      <c r="EH24" s="414"/>
      <c r="EI24" s="414"/>
      <c r="EJ24" s="414"/>
      <c r="EK24" s="414"/>
      <c r="EL24" s="414"/>
      <c r="EM24" s="414"/>
      <c r="EN24" s="414"/>
      <c r="EO24" s="414"/>
      <c r="EP24" s="414"/>
      <c r="EQ24" s="414"/>
      <c r="ER24" s="450"/>
      <c r="ES24" s="413"/>
      <c r="ET24" s="414"/>
      <c r="EU24" s="414"/>
      <c r="EV24" s="414"/>
      <c r="EW24" s="414"/>
      <c r="EX24" s="414"/>
      <c r="EY24" s="414"/>
      <c r="EZ24" s="414"/>
      <c r="FA24" s="414"/>
      <c r="FB24" s="414"/>
      <c r="FC24" s="414"/>
      <c r="FD24" s="414"/>
      <c r="FE24" s="415"/>
      <c r="FF24" s="26">
        <f>'Раздел  обоснование 2022сш'!E278+'Раздел  обоснование 2022сш'!E251+'Раздел  обоснование 2022сш'!D227+'Раздел  обоснование 2022сш'!E197</f>
        <v>3570310.32</v>
      </c>
      <c r="FG24" s="26">
        <f>DF24-FF24</f>
        <v>12915.270000000019</v>
      </c>
    </row>
    <row r="25" spans="1:163" ht="24" customHeight="1">
      <c r="A25" s="431" t="s">
        <v>12</v>
      </c>
      <c r="B25" s="429"/>
      <c r="C25" s="429"/>
      <c r="D25" s="429"/>
      <c r="E25" s="429"/>
      <c r="F25" s="429"/>
      <c r="G25" s="429"/>
      <c r="H25" s="430"/>
      <c r="I25" s="686" t="s">
        <v>245</v>
      </c>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87"/>
      <c r="BK25" s="687"/>
      <c r="BL25" s="687"/>
      <c r="BM25" s="687"/>
      <c r="BN25" s="687"/>
      <c r="BO25" s="687"/>
      <c r="BP25" s="687"/>
      <c r="BQ25" s="687"/>
      <c r="BR25" s="687"/>
      <c r="BS25" s="687"/>
      <c r="BT25" s="687"/>
      <c r="BU25" s="687"/>
      <c r="BV25" s="687"/>
      <c r="BW25" s="687"/>
      <c r="BX25" s="687"/>
      <c r="BY25" s="687"/>
      <c r="BZ25" s="687"/>
      <c r="CA25" s="687"/>
      <c r="CB25" s="687"/>
      <c r="CC25" s="687"/>
      <c r="CD25" s="687"/>
      <c r="CE25" s="687"/>
      <c r="CF25" s="687"/>
      <c r="CG25" s="687"/>
      <c r="CH25" s="687"/>
      <c r="CI25" s="687"/>
      <c r="CJ25" s="687"/>
      <c r="CK25" s="687"/>
      <c r="CL25" s="687"/>
      <c r="CM25" s="687"/>
      <c r="CN25" s="428" t="s">
        <v>246</v>
      </c>
      <c r="CO25" s="429"/>
      <c r="CP25" s="429"/>
      <c r="CQ25" s="429"/>
      <c r="CR25" s="429"/>
      <c r="CS25" s="429"/>
      <c r="CT25" s="429"/>
      <c r="CU25" s="430"/>
      <c r="CV25" s="431" t="s">
        <v>43</v>
      </c>
      <c r="CW25" s="429"/>
      <c r="CX25" s="429"/>
      <c r="CY25" s="429"/>
      <c r="CZ25" s="429"/>
      <c r="DA25" s="429"/>
      <c r="DB25" s="429"/>
      <c r="DC25" s="429"/>
      <c r="DD25" s="429"/>
      <c r="DE25" s="430"/>
      <c r="DF25" s="477"/>
      <c r="DG25" s="414"/>
      <c r="DH25" s="414"/>
      <c r="DI25" s="414"/>
      <c r="DJ25" s="414"/>
      <c r="DK25" s="414"/>
      <c r="DL25" s="414"/>
      <c r="DM25" s="414"/>
      <c r="DN25" s="414"/>
      <c r="DO25" s="414"/>
      <c r="DP25" s="414"/>
      <c r="DQ25" s="414"/>
      <c r="DR25" s="450"/>
      <c r="DS25" s="477"/>
      <c r="DT25" s="414"/>
      <c r="DU25" s="414"/>
      <c r="DV25" s="414"/>
      <c r="DW25" s="414"/>
      <c r="DX25" s="414"/>
      <c r="DY25" s="414"/>
      <c r="DZ25" s="414"/>
      <c r="EA25" s="414"/>
      <c r="EB25" s="414"/>
      <c r="EC25" s="414"/>
      <c r="ED25" s="414"/>
      <c r="EE25" s="450"/>
      <c r="EF25" s="477"/>
      <c r="EG25" s="414"/>
      <c r="EH25" s="414"/>
      <c r="EI25" s="414"/>
      <c r="EJ25" s="414"/>
      <c r="EK25" s="414"/>
      <c r="EL25" s="414"/>
      <c r="EM25" s="414"/>
      <c r="EN25" s="414"/>
      <c r="EO25" s="414"/>
      <c r="EP25" s="414"/>
      <c r="EQ25" s="414"/>
      <c r="ER25" s="450"/>
      <c r="ES25" s="413"/>
      <c r="ET25" s="414"/>
      <c r="EU25" s="414"/>
      <c r="EV25" s="414"/>
      <c r="EW25" s="414"/>
      <c r="EX25" s="414"/>
      <c r="EY25" s="414"/>
      <c r="EZ25" s="414"/>
      <c r="FA25" s="414"/>
      <c r="FB25" s="414"/>
      <c r="FC25" s="414"/>
      <c r="FD25" s="414"/>
      <c r="FE25" s="415"/>
      <c r="FF25" s="26">
        <f>FF24-DF24</f>
        <v>-12915.270000000019</v>
      </c>
      <c r="FG25" s="26">
        <f>DF25-FF25</f>
        <v>12915.270000000019</v>
      </c>
    </row>
    <row r="26" spans="1:163" ht="11.25">
      <c r="A26" s="476"/>
      <c r="B26" s="474"/>
      <c r="C26" s="474"/>
      <c r="D26" s="474"/>
      <c r="E26" s="474"/>
      <c r="F26" s="474"/>
      <c r="G26" s="474"/>
      <c r="H26" s="475"/>
      <c r="I26" s="691" t="s">
        <v>247</v>
      </c>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2"/>
      <c r="AQ26" s="692"/>
      <c r="AR26" s="692"/>
      <c r="AS26" s="692"/>
      <c r="AT26" s="692"/>
      <c r="AU26" s="692"/>
      <c r="AV26" s="692"/>
      <c r="AW26" s="692"/>
      <c r="AX26" s="692"/>
      <c r="AY26" s="692"/>
      <c r="AZ26" s="692"/>
      <c r="BA26" s="692"/>
      <c r="BB26" s="692"/>
      <c r="BC26" s="692"/>
      <c r="BD26" s="692"/>
      <c r="BE26" s="692"/>
      <c r="BF26" s="692"/>
      <c r="BG26" s="692"/>
      <c r="BH26" s="692"/>
      <c r="BI26" s="692"/>
      <c r="BJ26" s="692"/>
      <c r="BK26" s="692"/>
      <c r="BL26" s="692"/>
      <c r="BM26" s="692"/>
      <c r="BN26" s="692"/>
      <c r="BO26" s="692"/>
      <c r="BP26" s="692"/>
      <c r="BQ26" s="692"/>
      <c r="BR26" s="692"/>
      <c r="BS26" s="692"/>
      <c r="BT26" s="692"/>
      <c r="BU26" s="692"/>
      <c r="BV26" s="692"/>
      <c r="BW26" s="692"/>
      <c r="BX26" s="692"/>
      <c r="BY26" s="692"/>
      <c r="BZ26" s="692"/>
      <c r="CA26" s="692"/>
      <c r="CB26" s="692"/>
      <c r="CC26" s="692"/>
      <c r="CD26" s="692"/>
      <c r="CE26" s="692"/>
      <c r="CF26" s="692"/>
      <c r="CG26" s="692"/>
      <c r="CH26" s="692"/>
      <c r="CI26" s="692"/>
      <c r="CJ26" s="692"/>
      <c r="CK26" s="692"/>
      <c r="CL26" s="692"/>
      <c r="CM26" s="693"/>
      <c r="CN26" s="473" t="s">
        <v>248</v>
      </c>
      <c r="CO26" s="474"/>
      <c r="CP26" s="474"/>
      <c r="CQ26" s="474"/>
      <c r="CR26" s="474"/>
      <c r="CS26" s="474"/>
      <c r="CT26" s="474"/>
      <c r="CU26" s="475"/>
      <c r="CV26" s="476"/>
      <c r="CW26" s="474"/>
      <c r="CX26" s="474"/>
      <c r="CY26" s="474"/>
      <c r="CZ26" s="474"/>
      <c r="DA26" s="474"/>
      <c r="DB26" s="474"/>
      <c r="DC26" s="474"/>
      <c r="DD26" s="474"/>
      <c r="DE26" s="475"/>
      <c r="DF26" s="422"/>
      <c r="DG26" s="423"/>
      <c r="DH26" s="423"/>
      <c r="DI26" s="423"/>
      <c r="DJ26" s="423"/>
      <c r="DK26" s="423"/>
      <c r="DL26" s="423"/>
      <c r="DM26" s="423"/>
      <c r="DN26" s="423"/>
      <c r="DO26" s="423"/>
      <c r="DP26" s="423"/>
      <c r="DQ26" s="423"/>
      <c r="DR26" s="424"/>
      <c r="DS26" s="422"/>
      <c r="DT26" s="423"/>
      <c r="DU26" s="423"/>
      <c r="DV26" s="423"/>
      <c r="DW26" s="423"/>
      <c r="DX26" s="423"/>
      <c r="DY26" s="423"/>
      <c r="DZ26" s="423"/>
      <c r="EA26" s="423"/>
      <c r="EB26" s="423"/>
      <c r="EC26" s="423"/>
      <c r="ED26" s="423"/>
      <c r="EE26" s="424"/>
      <c r="EF26" s="422"/>
      <c r="EG26" s="423"/>
      <c r="EH26" s="423"/>
      <c r="EI26" s="423"/>
      <c r="EJ26" s="423"/>
      <c r="EK26" s="423"/>
      <c r="EL26" s="423"/>
      <c r="EM26" s="423"/>
      <c r="EN26" s="423"/>
      <c r="EO26" s="423"/>
      <c r="EP26" s="423"/>
      <c r="EQ26" s="423"/>
      <c r="ER26" s="424"/>
      <c r="ES26" s="422"/>
      <c r="ET26" s="423"/>
      <c r="EU26" s="423"/>
      <c r="EV26" s="423"/>
      <c r="EW26" s="423"/>
      <c r="EX26" s="423"/>
      <c r="EY26" s="423"/>
      <c r="EZ26" s="423"/>
      <c r="FA26" s="423"/>
      <c r="FB26" s="423"/>
      <c r="FC26" s="423"/>
      <c r="FD26" s="423"/>
      <c r="FE26" s="425"/>
      <c r="FG26" s="26"/>
    </row>
    <row r="27" spans="1:161" ht="11.25">
      <c r="A27" s="531"/>
      <c r="B27" s="529"/>
      <c r="C27" s="529"/>
      <c r="D27" s="529"/>
      <c r="E27" s="529"/>
      <c r="F27" s="529"/>
      <c r="G27" s="529"/>
      <c r="H27" s="530"/>
      <c r="I27" s="501"/>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2"/>
      <c r="BB27" s="502"/>
      <c r="BC27" s="502"/>
      <c r="BD27" s="502"/>
      <c r="BE27" s="502"/>
      <c r="BF27" s="502"/>
      <c r="BG27" s="502"/>
      <c r="BH27" s="502"/>
      <c r="BI27" s="502"/>
      <c r="BJ27" s="502"/>
      <c r="BK27" s="502"/>
      <c r="BL27" s="502"/>
      <c r="BM27" s="502"/>
      <c r="BN27" s="502"/>
      <c r="BO27" s="502"/>
      <c r="BP27" s="502"/>
      <c r="BQ27" s="502"/>
      <c r="BR27" s="502"/>
      <c r="BS27" s="502"/>
      <c r="BT27" s="502"/>
      <c r="BU27" s="502"/>
      <c r="BV27" s="502"/>
      <c r="BW27" s="502"/>
      <c r="BX27" s="502"/>
      <c r="BY27" s="502"/>
      <c r="BZ27" s="502"/>
      <c r="CA27" s="502"/>
      <c r="CB27" s="502"/>
      <c r="CC27" s="502"/>
      <c r="CD27" s="502"/>
      <c r="CE27" s="502"/>
      <c r="CF27" s="502"/>
      <c r="CG27" s="502"/>
      <c r="CH27" s="502"/>
      <c r="CI27" s="502"/>
      <c r="CJ27" s="502"/>
      <c r="CK27" s="502"/>
      <c r="CL27" s="502"/>
      <c r="CM27" s="502"/>
      <c r="CN27" s="528"/>
      <c r="CO27" s="529"/>
      <c r="CP27" s="529"/>
      <c r="CQ27" s="529"/>
      <c r="CR27" s="529"/>
      <c r="CS27" s="529"/>
      <c r="CT27" s="529"/>
      <c r="CU27" s="530"/>
      <c r="CV27" s="531"/>
      <c r="CW27" s="529"/>
      <c r="CX27" s="529"/>
      <c r="CY27" s="529"/>
      <c r="CZ27" s="529"/>
      <c r="DA27" s="529"/>
      <c r="DB27" s="529"/>
      <c r="DC27" s="529"/>
      <c r="DD27" s="529"/>
      <c r="DE27" s="530"/>
      <c r="DF27" s="522"/>
      <c r="DG27" s="523"/>
      <c r="DH27" s="523"/>
      <c r="DI27" s="523"/>
      <c r="DJ27" s="523"/>
      <c r="DK27" s="523"/>
      <c r="DL27" s="523"/>
      <c r="DM27" s="523"/>
      <c r="DN27" s="523"/>
      <c r="DO27" s="523"/>
      <c r="DP27" s="523"/>
      <c r="DQ27" s="523"/>
      <c r="DR27" s="524"/>
      <c r="DS27" s="522"/>
      <c r="DT27" s="523"/>
      <c r="DU27" s="523"/>
      <c r="DV27" s="523"/>
      <c r="DW27" s="523"/>
      <c r="DX27" s="523"/>
      <c r="DY27" s="523"/>
      <c r="DZ27" s="523"/>
      <c r="EA27" s="523"/>
      <c r="EB27" s="523"/>
      <c r="EC27" s="523"/>
      <c r="ED27" s="523"/>
      <c r="EE27" s="524"/>
      <c r="EF27" s="522"/>
      <c r="EG27" s="523"/>
      <c r="EH27" s="523"/>
      <c r="EI27" s="523"/>
      <c r="EJ27" s="523"/>
      <c r="EK27" s="523"/>
      <c r="EL27" s="523"/>
      <c r="EM27" s="523"/>
      <c r="EN27" s="523"/>
      <c r="EO27" s="523"/>
      <c r="EP27" s="523"/>
      <c r="EQ27" s="523"/>
      <c r="ER27" s="524"/>
      <c r="ES27" s="522"/>
      <c r="ET27" s="523"/>
      <c r="EU27" s="523"/>
      <c r="EV27" s="523"/>
      <c r="EW27" s="523"/>
      <c r="EX27" s="523"/>
      <c r="EY27" s="523"/>
      <c r="EZ27" s="523"/>
      <c r="FA27" s="523"/>
      <c r="FB27" s="523"/>
      <c r="FC27" s="523"/>
      <c r="FD27" s="523"/>
      <c r="FE27" s="525"/>
    </row>
    <row r="28" spans="1:161" ht="24" customHeight="1">
      <c r="A28" s="431" t="s">
        <v>13</v>
      </c>
      <c r="B28" s="429"/>
      <c r="C28" s="429"/>
      <c r="D28" s="429"/>
      <c r="E28" s="429"/>
      <c r="F28" s="429"/>
      <c r="G28" s="429"/>
      <c r="H28" s="430"/>
      <c r="I28" s="686" t="s">
        <v>249</v>
      </c>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7"/>
      <c r="BU28" s="687"/>
      <c r="BV28" s="687"/>
      <c r="BW28" s="687"/>
      <c r="BX28" s="687"/>
      <c r="BY28" s="687"/>
      <c r="BZ28" s="687"/>
      <c r="CA28" s="687"/>
      <c r="CB28" s="687"/>
      <c r="CC28" s="687"/>
      <c r="CD28" s="687"/>
      <c r="CE28" s="687"/>
      <c r="CF28" s="687"/>
      <c r="CG28" s="687"/>
      <c r="CH28" s="687"/>
      <c r="CI28" s="687"/>
      <c r="CJ28" s="687"/>
      <c r="CK28" s="687"/>
      <c r="CL28" s="687"/>
      <c r="CM28" s="687"/>
      <c r="CN28" s="428" t="s">
        <v>250</v>
      </c>
      <c r="CO28" s="429"/>
      <c r="CP28" s="429"/>
      <c r="CQ28" s="429"/>
      <c r="CR28" s="429"/>
      <c r="CS28" s="429"/>
      <c r="CT28" s="429"/>
      <c r="CU28" s="430"/>
      <c r="CV28" s="431" t="s">
        <v>43</v>
      </c>
      <c r="CW28" s="429"/>
      <c r="CX28" s="429"/>
      <c r="CY28" s="429"/>
      <c r="CZ28" s="429"/>
      <c r="DA28" s="429"/>
      <c r="DB28" s="429"/>
      <c r="DC28" s="429"/>
      <c r="DD28" s="429"/>
      <c r="DE28" s="430"/>
      <c r="DF28" s="477">
        <f>DF11</f>
        <v>25151565.423138916</v>
      </c>
      <c r="DG28" s="414"/>
      <c r="DH28" s="414"/>
      <c r="DI28" s="414"/>
      <c r="DJ28" s="414"/>
      <c r="DK28" s="414"/>
      <c r="DL28" s="414"/>
      <c r="DM28" s="414"/>
      <c r="DN28" s="414"/>
      <c r="DO28" s="414"/>
      <c r="DP28" s="414"/>
      <c r="DQ28" s="414"/>
      <c r="DR28" s="450"/>
      <c r="DS28" s="477">
        <f>DS11</f>
        <v>34825243.37680024</v>
      </c>
      <c r="DT28" s="414"/>
      <c r="DU28" s="414"/>
      <c r="DV28" s="414"/>
      <c r="DW28" s="414"/>
      <c r="DX28" s="414"/>
      <c r="DY28" s="414"/>
      <c r="DZ28" s="414"/>
      <c r="EA28" s="414"/>
      <c r="EB28" s="414"/>
      <c r="EC28" s="414"/>
      <c r="ED28" s="414"/>
      <c r="EE28" s="450"/>
      <c r="EF28" s="477">
        <f>EF11</f>
        <v>36331966.37680025</v>
      </c>
      <c r="EG28" s="414"/>
      <c r="EH28" s="414"/>
      <c r="EI28" s="414"/>
      <c r="EJ28" s="414"/>
      <c r="EK28" s="414"/>
      <c r="EL28" s="414"/>
      <c r="EM28" s="414"/>
      <c r="EN28" s="414"/>
      <c r="EO28" s="414"/>
      <c r="EP28" s="414"/>
      <c r="EQ28" s="414"/>
      <c r="ER28" s="450"/>
      <c r="ES28" s="413"/>
      <c r="ET28" s="414"/>
      <c r="EU28" s="414"/>
      <c r="EV28" s="414"/>
      <c r="EW28" s="414"/>
      <c r="EX28" s="414"/>
      <c r="EY28" s="414"/>
      <c r="EZ28" s="414"/>
      <c r="FA28" s="414"/>
      <c r="FB28" s="414"/>
      <c r="FC28" s="414"/>
      <c r="FD28" s="414"/>
      <c r="FE28" s="415"/>
    </row>
    <row r="29" spans="1:161" ht="12.75" customHeight="1">
      <c r="A29" s="476"/>
      <c r="B29" s="474"/>
      <c r="C29" s="474"/>
      <c r="D29" s="474"/>
      <c r="E29" s="474"/>
      <c r="F29" s="474"/>
      <c r="G29" s="474"/>
      <c r="H29" s="475"/>
      <c r="I29" s="691" t="s">
        <v>247</v>
      </c>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2"/>
      <c r="AP29" s="692"/>
      <c r="AQ29" s="692"/>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2"/>
      <c r="BU29" s="692"/>
      <c r="BV29" s="692"/>
      <c r="BW29" s="692"/>
      <c r="BX29" s="692"/>
      <c r="BY29" s="692"/>
      <c r="BZ29" s="692"/>
      <c r="CA29" s="692"/>
      <c r="CB29" s="692"/>
      <c r="CC29" s="692"/>
      <c r="CD29" s="692"/>
      <c r="CE29" s="692"/>
      <c r="CF29" s="692"/>
      <c r="CG29" s="692"/>
      <c r="CH29" s="692"/>
      <c r="CI29" s="692"/>
      <c r="CJ29" s="692"/>
      <c r="CK29" s="692"/>
      <c r="CL29" s="692"/>
      <c r="CM29" s="693"/>
      <c r="CN29" s="385" t="s">
        <v>251</v>
      </c>
      <c r="CO29" s="386"/>
      <c r="CP29" s="386"/>
      <c r="CQ29" s="386"/>
      <c r="CR29" s="386"/>
      <c r="CS29" s="386"/>
      <c r="CT29" s="386"/>
      <c r="CU29" s="387"/>
      <c r="CV29" s="476"/>
      <c r="CW29" s="474"/>
      <c r="CX29" s="474"/>
      <c r="CY29" s="474"/>
      <c r="CZ29" s="474"/>
      <c r="DA29" s="474"/>
      <c r="DB29" s="474"/>
      <c r="DC29" s="474"/>
      <c r="DD29" s="474"/>
      <c r="DE29" s="475"/>
      <c r="DF29" s="422"/>
      <c r="DG29" s="423"/>
      <c r="DH29" s="423"/>
      <c r="DI29" s="423"/>
      <c r="DJ29" s="423"/>
      <c r="DK29" s="423"/>
      <c r="DL29" s="423"/>
      <c r="DM29" s="423"/>
      <c r="DN29" s="423"/>
      <c r="DO29" s="423"/>
      <c r="DP29" s="423"/>
      <c r="DQ29" s="423"/>
      <c r="DR29" s="424"/>
      <c r="DS29" s="422"/>
      <c r="DT29" s="423"/>
      <c r="DU29" s="423"/>
      <c r="DV29" s="423"/>
      <c r="DW29" s="423"/>
      <c r="DX29" s="423"/>
      <c r="DY29" s="423"/>
      <c r="DZ29" s="423"/>
      <c r="EA29" s="423"/>
      <c r="EB29" s="423"/>
      <c r="EC29" s="423"/>
      <c r="ED29" s="423"/>
      <c r="EE29" s="424"/>
      <c r="EF29" s="422"/>
      <c r="EG29" s="423"/>
      <c r="EH29" s="423"/>
      <c r="EI29" s="423"/>
      <c r="EJ29" s="423"/>
      <c r="EK29" s="423"/>
      <c r="EL29" s="423"/>
      <c r="EM29" s="423"/>
      <c r="EN29" s="423"/>
      <c r="EO29" s="423"/>
      <c r="EP29" s="423"/>
      <c r="EQ29" s="423"/>
      <c r="ER29" s="424"/>
      <c r="ES29" s="422"/>
      <c r="ET29" s="423"/>
      <c r="EU29" s="423"/>
      <c r="EV29" s="423"/>
      <c r="EW29" s="423"/>
      <c r="EX29" s="423"/>
      <c r="EY29" s="423"/>
      <c r="EZ29" s="423"/>
      <c r="FA29" s="423"/>
      <c r="FB29" s="423"/>
      <c r="FC29" s="423"/>
      <c r="FD29" s="423"/>
      <c r="FE29" s="424"/>
    </row>
    <row r="30" spans="1:161" s="141" customFormat="1" ht="12.75" customHeight="1">
      <c r="A30" s="688"/>
      <c r="B30" s="689"/>
      <c r="C30" s="689"/>
      <c r="D30" s="689"/>
      <c r="E30" s="689"/>
      <c r="F30" s="689"/>
      <c r="G30" s="689"/>
      <c r="H30" s="690"/>
      <c r="I30" s="151"/>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677"/>
      <c r="CO30" s="678"/>
      <c r="CP30" s="678"/>
      <c r="CQ30" s="678"/>
      <c r="CR30" s="678"/>
      <c r="CS30" s="678"/>
      <c r="CT30" s="678"/>
      <c r="CU30" s="679"/>
      <c r="CV30" s="688" t="s">
        <v>579</v>
      </c>
      <c r="CW30" s="689"/>
      <c r="CX30" s="689"/>
      <c r="CY30" s="689"/>
      <c r="CZ30" s="689"/>
      <c r="DA30" s="689"/>
      <c r="DB30" s="689"/>
      <c r="DC30" s="689"/>
      <c r="DD30" s="689"/>
      <c r="DE30" s="690"/>
      <c r="DF30" s="703">
        <f>DF11</f>
        <v>25151565.423138916</v>
      </c>
      <c r="DG30" s="665"/>
      <c r="DH30" s="665"/>
      <c r="DI30" s="665"/>
      <c r="DJ30" s="665"/>
      <c r="DK30" s="665"/>
      <c r="DL30" s="665"/>
      <c r="DM30" s="665"/>
      <c r="DN30" s="665"/>
      <c r="DO30" s="665"/>
      <c r="DP30" s="665"/>
      <c r="DQ30" s="665"/>
      <c r="DR30" s="704"/>
      <c r="DS30" s="705"/>
      <c r="DT30" s="665"/>
      <c r="DU30" s="665"/>
      <c r="DV30" s="665"/>
      <c r="DW30" s="665"/>
      <c r="DX30" s="665"/>
      <c r="DY30" s="665"/>
      <c r="DZ30" s="665"/>
      <c r="EA30" s="665"/>
      <c r="EB30" s="665"/>
      <c r="EC30" s="665"/>
      <c r="ED30" s="665"/>
      <c r="EE30" s="704"/>
      <c r="EF30" s="705"/>
      <c r="EG30" s="665"/>
      <c r="EH30" s="665"/>
      <c r="EI30" s="665"/>
      <c r="EJ30" s="665"/>
      <c r="EK30" s="665"/>
      <c r="EL30" s="665"/>
      <c r="EM30" s="665"/>
      <c r="EN30" s="665"/>
      <c r="EO30" s="665"/>
      <c r="EP30" s="665"/>
      <c r="EQ30" s="665"/>
      <c r="ER30" s="704"/>
      <c r="ES30" s="705"/>
      <c r="ET30" s="665"/>
      <c r="EU30" s="665"/>
      <c r="EV30" s="665"/>
      <c r="EW30" s="665"/>
      <c r="EX30" s="665"/>
      <c r="EY30" s="665"/>
      <c r="EZ30" s="665"/>
      <c r="FA30" s="665"/>
      <c r="FB30" s="665"/>
      <c r="FC30" s="665"/>
      <c r="FD30" s="665"/>
      <c r="FE30" s="704"/>
    </row>
    <row r="31" spans="1:161" s="141" customFormat="1" ht="12.75" customHeight="1">
      <c r="A31" s="688"/>
      <c r="B31" s="689"/>
      <c r="C31" s="689"/>
      <c r="D31" s="689"/>
      <c r="E31" s="689"/>
      <c r="F31" s="689"/>
      <c r="G31" s="689"/>
      <c r="H31" s="690"/>
      <c r="I31" s="151"/>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677"/>
      <c r="CO31" s="678"/>
      <c r="CP31" s="678"/>
      <c r="CQ31" s="678"/>
      <c r="CR31" s="678"/>
      <c r="CS31" s="678"/>
      <c r="CT31" s="678"/>
      <c r="CU31" s="679"/>
      <c r="CV31" s="688" t="s">
        <v>580</v>
      </c>
      <c r="CW31" s="689"/>
      <c r="CX31" s="689"/>
      <c r="CY31" s="689"/>
      <c r="CZ31" s="689"/>
      <c r="DA31" s="689"/>
      <c r="DB31" s="689"/>
      <c r="DC31" s="689"/>
      <c r="DD31" s="689"/>
      <c r="DE31" s="690"/>
      <c r="DF31" s="705"/>
      <c r="DG31" s="665"/>
      <c r="DH31" s="665"/>
      <c r="DI31" s="665"/>
      <c r="DJ31" s="665"/>
      <c r="DK31" s="665"/>
      <c r="DL31" s="665"/>
      <c r="DM31" s="665"/>
      <c r="DN31" s="665"/>
      <c r="DO31" s="665"/>
      <c r="DP31" s="665"/>
      <c r="DQ31" s="665"/>
      <c r="DR31" s="704"/>
      <c r="DS31" s="703">
        <f>DS11</f>
        <v>34825243.37680024</v>
      </c>
      <c r="DT31" s="665"/>
      <c r="DU31" s="665"/>
      <c r="DV31" s="665"/>
      <c r="DW31" s="665"/>
      <c r="DX31" s="665"/>
      <c r="DY31" s="665"/>
      <c r="DZ31" s="665"/>
      <c r="EA31" s="665"/>
      <c r="EB31" s="665"/>
      <c r="EC31" s="665"/>
      <c r="ED31" s="665"/>
      <c r="EE31" s="704"/>
      <c r="EF31" s="705"/>
      <c r="EG31" s="665"/>
      <c r="EH31" s="665"/>
      <c r="EI31" s="665"/>
      <c r="EJ31" s="665"/>
      <c r="EK31" s="665"/>
      <c r="EL31" s="665"/>
      <c r="EM31" s="665"/>
      <c r="EN31" s="665"/>
      <c r="EO31" s="665"/>
      <c r="EP31" s="665"/>
      <c r="EQ31" s="665"/>
      <c r="ER31" s="704"/>
      <c r="ES31" s="705"/>
      <c r="ET31" s="665"/>
      <c r="EU31" s="665"/>
      <c r="EV31" s="665"/>
      <c r="EW31" s="665"/>
      <c r="EX31" s="665"/>
      <c r="EY31" s="665"/>
      <c r="EZ31" s="665"/>
      <c r="FA31" s="665"/>
      <c r="FB31" s="665"/>
      <c r="FC31" s="665"/>
      <c r="FD31" s="665"/>
      <c r="FE31" s="704"/>
    </row>
    <row r="32" spans="1:161" ht="13.5" customHeight="1" thickBot="1">
      <c r="A32" s="531"/>
      <c r="B32" s="529"/>
      <c r="C32" s="529"/>
      <c r="D32" s="529"/>
      <c r="E32" s="529"/>
      <c r="F32" s="529"/>
      <c r="G32" s="529"/>
      <c r="H32" s="530"/>
      <c r="I32" s="501"/>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2"/>
      <c r="BR32" s="502"/>
      <c r="BS32" s="502"/>
      <c r="BT32" s="502"/>
      <c r="BU32" s="502"/>
      <c r="BV32" s="502"/>
      <c r="BW32" s="502"/>
      <c r="BX32" s="502"/>
      <c r="BY32" s="502"/>
      <c r="BZ32" s="502"/>
      <c r="CA32" s="502"/>
      <c r="CB32" s="502"/>
      <c r="CC32" s="502"/>
      <c r="CD32" s="502"/>
      <c r="CE32" s="502"/>
      <c r="CF32" s="502"/>
      <c r="CG32" s="502"/>
      <c r="CH32" s="502"/>
      <c r="CI32" s="502"/>
      <c r="CJ32" s="502"/>
      <c r="CK32" s="502"/>
      <c r="CL32" s="502"/>
      <c r="CM32" s="502"/>
      <c r="CN32" s="694"/>
      <c r="CO32" s="695"/>
      <c r="CP32" s="695"/>
      <c r="CQ32" s="695"/>
      <c r="CR32" s="695"/>
      <c r="CS32" s="695"/>
      <c r="CT32" s="695"/>
      <c r="CU32" s="696"/>
      <c r="CV32" s="584" t="s">
        <v>581</v>
      </c>
      <c r="CW32" s="582"/>
      <c r="CX32" s="582"/>
      <c r="CY32" s="582"/>
      <c r="CZ32" s="582"/>
      <c r="DA32" s="582"/>
      <c r="DB32" s="582"/>
      <c r="DC32" s="582"/>
      <c r="DD32" s="582"/>
      <c r="DE32" s="583"/>
      <c r="DF32" s="557"/>
      <c r="DG32" s="558"/>
      <c r="DH32" s="558"/>
      <c r="DI32" s="558"/>
      <c r="DJ32" s="558"/>
      <c r="DK32" s="558"/>
      <c r="DL32" s="558"/>
      <c r="DM32" s="558"/>
      <c r="DN32" s="558"/>
      <c r="DO32" s="558"/>
      <c r="DP32" s="558"/>
      <c r="DQ32" s="558"/>
      <c r="DR32" s="702"/>
      <c r="DS32" s="557"/>
      <c r="DT32" s="558"/>
      <c r="DU32" s="558"/>
      <c r="DV32" s="558"/>
      <c r="DW32" s="558"/>
      <c r="DX32" s="558"/>
      <c r="DY32" s="558"/>
      <c r="DZ32" s="558"/>
      <c r="EA32" s="558"/>
      <c r="EB32" s="558"/>
      <c r="EC32" s="558"/>
      <c r="ED32" s="558"/>
      <c r="EE32" s="702"/>
      <c r="EF32" s="578">
        <f>EF11</f>
        <v>36331966.37680025</v>
      </c>
      <c r="EG32" s="558"/>
      <c r="EH32" s="558"/>
      <c r="EI32" s="558"/>
      <c r="EJ32" s="558"/>
      <c r="EK32" s="558"/>
      <c r="EL32" s="558"/>
      <c r="EM32" s="558"/>
      <c r="EN32" s="558"/>
      <c r="EO32" s="558"/>
      <c r="EP32" s="558"/>
      <c r="EQ32" s="558"/>
      <c r="ER32" s="702"/>
      <c r="ES32" s="557"/>
      <c r="ET32" s="558"/>
      <c r="EU32" s="558"/>
      <c r="EV32" s="558"/>
      <c r="EW32" s="558"/>
      <c r="EX32" s="558"/>
      <c r="EY32" s="558"/>
      <c r="EZ32" s="558"/>
      <c r="FA32" s="558"/>
      <c r="FB32" s="558"/>
      <c r="FC32" s="558"/>
      <c r="FD32" s="558"/>
      <c r="FE32" s="702"/>
    </row>
    <row r="35" spans="8:96" ht="24" customHeight="1" hidden="1">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0"/>
      <c r="AR35" s="680"/>
      <c r="AS35" s="680"/>
      <c r="AT35" s="680"/>
      <c r="AU35" s="680"/>
      <c r="AV35" s="680"/>
      <c r="AW35" s="680"/>
      <c r="AX35" s="680"/>
      <c r="AY35" s="680"/>
      <c r="AZ35" s="680"/>
      <c r="BA35" s="680"/>
      <c r="BB35" s="680"/>
      <c r="BC35" s="680"/>
      <c r="BD35" s="680"/>
      <c r="BE35" s="680"/>
      <c r="BF35" s="680"/>
      <c r="BG35" s="680"/>
      <c r="BH35" s="680"/>
      <c r="BK35" s="523"/>
      <c r="BL35" s="523"/>
      <c r="BM35" s="523"/>
      <c r="BN35" s="523"/>
      <c r="BO35" s="523"/>
      <c r="BP35" s="523"/>
      <c r="BQ35" s="523"/>
      <c r="BR35" s="523"/>
      <c r="BS35" s="523"/>
      <c r="BT35" s="523"/>
      <c r="BU35" s="523"/>
      <c r="BV35" s="523"/>
      <c r="BY35" s="523"/>
      <c r="BZ35" s="523"/>
      <c r="CA35" s="523"/>
      <c r="CB35" s="523"/>
      <c r="CC35" s="523"/>
      <c r="CD35" s="523"/>
      <c r="CE35" s="523"/>
      <c r="CF35" s="523"/>
      <c r="CG35" s="523"/>
      <c r="CH35" s="523"/>
      <c r="CI35" s="523"/>
      <c r="CJ35" s="523"/>
      <c r="CK35" s="523"/>
      <c r="CL35" s="523"/>
      <c r="CM35" s="523"/>
      <c r="CN35" s="523"/>
      <c r="CO35" s="523"/>
      <c r="CP35" s="523"/>
      <c r="CQ35" s="523"/>
      <c r="CR35" s="523"/>
    </row>
    <row r="36" spans="43:96" s="23" customFormat="1" ht="8.25" hidden="1">
      <c r="AQ36" s="602"/>
      <c r="AR36" s="602"/>
      <c r="AS36" s="602"/>
      <c r="AT36" s="602"/>
      <c r="AU36" s="602"/>
      <c r="AV36" s="602"/>
      <c r="AW36" s="602"/>
      <c r="AX36" s="602"/>
      <c r="AY36" s="602"/>
      <c r="AZ36" s="602"/>
      <c r="BA36" s="602"/>
      <c r="BB36" s="602"/>
      <c r="BC36" s="602"/>
      <c r="BD36" s="602"/>
      <c r="BE36" s="602"/>
      <c r="BF36" s="602"/>
      <c r="BG36" s="602"/>
      <c r="BH36" s="602"/>
      <c r="BK36" s="602"/>
      <c r="BL36" s="602"/>
      <c r="BM36" s="602"/>
      <c r="BN36" s="602"/>
      <c r="BO36" s="602"/>
      <c r="BP36" s="602"/>
      <c r="BQ36" s="602"/>
      <c r="BR36" s="602"/>
      <c r="BS36" s="602"/>
      <c r="BT36" s="602"/>
      <c r="BU36" s="602"/>
      <c r="BV36" s="602"/>
      <c r="BY36" s="602"/>
      <c r="BZ36" s="602"/>
      <c r="CA36" s="602"/>
      <c r="CB36" s="602"/>
      <c r="CC36" s="602"/>
      <c r="CD36" s="602"/>
      <c r="CE36" s="602"/>
      <c r="CF36" s="602"/>
      <c r="CG36" s="602"/>
      <c r="CH36" s="602"/>
      <c r="CI36" s="602"/>
      <c r="CJ36" s="602"/>
      <c r="CK36" s="602"/>
      <c r="CL36" s="602"/>
      <c r="CM36" s="602"/>
      <c r="CN36" s="602"/>
      <c r="CO36" s="602"/>
      <c r="CP36" s="602"/>
      <c r="CQ36" s="602"/>
      <c r="CR36" s="602"/>
    </row>
    <row r="37" spans="43:96" s="23" customFormat="1" ht="3" customHeight="1">
      <c r="AQ37" s="27"/>
      <c r="AR37" s="27"/>
      <c r="AS37" s="27"/>
      <c r="AT37" s="27"/>
      <c r="AU37" s="27"/>
      <c r="AV37" s="27"/>
      <c r="AW37" s="27"/>
      <c r="AX37" s="27"/>
      <c r="AY37" s="27"/>
      <c r="AZ37" s="27"/>
      <c r="BA37" s="27"/>
      <c r="BB37" s="27"/>
      <c r="BC37" s="27"/>
      <c r="BD37" s="27"/>
      <c r="BE37" s="27"/>
      <c r="BF37" s="27"/>
      <c r="BG37" s="27"/>
      <c r="BH37" s="27"/>
      <c r="BK37" s="27"/>
      <c r="BL37" s="27"/>
      <c r="BM37" s="27"/>
      <c r="BN37" s="27"/>
      <c r="BO37" s="27"/>
      <c r="BP37" s="27"/>
      <c r="BQ37" s="27"/>
      <c r="BR37" s="27"/>
      <c r="BS37" s="27"/>
      <c r="BT37" s="27"/>
      <c r="BU37" s="27"/>
      <c r="BV37" s="27"/>
      <c r="BY37" s="27"/>
      <c r="BZ37" s="27"/>
      <c r="CA37" s="27"/>
      <c r="CB37" s="27"/>
      <c r="CC37" s="27"/>
      <c r="CD37" s="27"/>
      <c r="CE37" s="27"/>
      <c r="CF37" s="27"/>
      <c r="CG37" s="27"/>
      <c r="CH37" s="27"/>
      <c r="CI37" s="27"/>
      <c r="CJ37" s="27"/>
      <c r="CK37" s="27"/>
      <c r="CL37" s="27"/>
      <c r="CM37" s="27"/>
      <c r="CN37" s="27"/>
      <c r="CO37" s="27"/>
      <c r="CP37" s="27"/>
      <c r="CQ37" s="27"/>
      <c r="CR37" s="27"/>
    </row>
    <row r="38" spans="9:96" ht="39" customHeight="1">
      <c r="I38" s="22" t="s">
        <v>253</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680" t="s">
        <v>646</v>
      </c>
      <c r="AN38" s="680"/>
      <c r="AO38" s="680"/>
      <c r="AP38" s="680"/>
      <c r="AQ38" s="680"/>
      <c r="AR38" s="680"/>
      <c r="AS38" s="680"/>
      <c r="AT38" s="680"/>
      <c r="AU38" s="680"/>
      <c r="AV38" s="680"/>
      <c r="AW38" s="680"/>
      <c r="AX38" s="680"/>
      <c r="AY38" s="680"/>
      <c r="AZ38" s="680"/>
      <c r="BA38" s="680"/>
      <c r="BB38" s="680"/>
      <c r="BC38" s="680"/>
      <c r="BD38" s="680"/>
      <c r="BG38" s="523" t="s">
        <v>647</v>
      </c>
      <c r="BH38" s="523"/>
      <c r="BI38" s="523"/>
      <c r="BJ38" s="523"/>
      <c r="BK38" s="523"/>
      <c r="BL38" s="523"/>
      <c r="BM38" s="523"/>
      <c r="BN38" s="523"/>
      <c r="BO38" s="523"/>
      <c r="BP38" s="523"/>
      <c r="BQ38" s="523"/>
      <c r="BR38" s="523"/>
      <c r="BS38" s="523"/>
      <c r="BT38" s="523"/>
      <c r="BU38" s="523"/>
      <c r="BV38" s="523"/>
      <c r="BW38" s="523"/>
      <c r="BX38" s="523"/>
      <c r="CA38" s="529" t="s">
        <v>648</v>
      </c>
      <c r="CB38" s="529"/>
      <c r="CC38" s="529"/>
      <c r="CD38" s="529"/>
      <c r="CE38" s="529"/>
      <c r="CF38" s="529"/>
      <c r="CG38" s="529"/>
      <c r="CH38" s="529"/>
      <c r="CI38" s="529"/>
      <c r="CJ38" s="529"/>
      <c r="CK38" s="529"/>
      <c r="CL38" s="529"/>
      <c r="CM38" s="529"/>
      <c r="CN38" s="529"/>
      <c r="CO38" s="529"/>
      <c r="CP38" s="529"/>
      <c r="CQ38" s="529"/>
      <c r="CR38" s="529"/>
    </row>
    <row r="39" spans="39:96" s="23" customFormat="1" ht="8.25">
      <c r="AM39" s="602" t="s">
        <v>252</v>
      </c>
      <c r="AN39" s="602"/>
      <c r="AO39" s="602"/>
      <c r="AP39" s="602"/>
      <c r="AQ39" s="602"/>
      <c r="AR39" s="602"/>
      <c r="AS39" s="602"/>
      <c r="AT39" s="602"/>
      <c r="AU39" s="602"/>
      <c r="AV39" s="602"/>
      <c r="AW39" s="602"/>
      <c r="AX39" s="602"/>
      <c r="AY39" s="602"/>
      <c r="AZ39" s="602"/>
      <c r="BA39" s="602"/>
      <c r="BB39" s="602"/>
      <c r="BC39" s="602"/>
      <c r="BD39" s="602"/>
      <c r="BG39" s="602" t="s">
        <v>254</v>
      </c>
      <c r="BH39" s="602"/>
      <c r="BI39" s="602"/>
      <c r="BJ39" s="602"/>
      <c r="BK39" s="602"/>
      <c r="BL39" s="602"/>
      <c r="BM39" s="602"/>
      <c r="BN39" s="602"/>
      <c r="BO39" s="602"/>
      <c r="BP39" s="602"/>
      <c r="BQ39" s="602"/>
      <c r="BR39" s="602"/>
      <c r="BS39" s="602"/>
      <c r="BT39" s="602"/>
      <c r="BU39" s="602"/>
      <c r="BV39" s="602"/>
      <c r="BW39" s="602"/>
      <c r="BX39" s="602"/>
      <c r="CA39" s="602" t="s">
        <v>255</v>
      </c>
      <c r="CB39" s="602"/>
      <c r="CC39" s="602"/>
      <c r="CD39" s="602"/>
      <c r="CE39" s="602"/>
      <c r="CF39" s="602"/>
      <c r="CG39" s="602"/>
      <c r="CH39" s="602"/>
      <c r="CI39" s="602"/>
      <c r="CJ39" s="602"/>
      <c r="CK39" s="602"/>
      <c r="CL39" s="602"/>
      <c r="CM39" s="602"/>
      <c r="CN39" s="602"/>
      <c r="CO39" s="602"/>
      <c r="CP39" s="602"/>
      <c r="CQ39" s="602"/>
      <c r="CR39" s="602"/>
    </row>
    <row r="40" spans="39:96" s="23" customFormat="1" ht="3" customHeight="1">
      <c r="AM40" s="27"/>
      <c r="AN40" s="27"/>
      <c r="AO40" s="27"/>
      <c r="AP40" s="27"/>
      <c r="AQ40" s="27"/>
      <c r="AR40" s="27"/>
      <c r="AS40" s="27"/>
      <c r="AT40" s="27"/>
      <c r="AU40" s="27"/>
      <c r="AV40" s="27"/>
      <c r="AW40" s="27"/>
      <c r="AX40" s="27"/>
      <c r="AY40" s="27"/>
      <c r="AZ40" s="27"/>
      <c r="BA40" s="27"/>
      <c r="BB40" s="27"/>
      <c r="BC40" s="27"/>
      <c r="BD40" s="27"/>
      <c r="BG40" s="27"/>
      <c r="BH40" s="27"/>
      <c r="BI40" s="27"/>
      <c r="BJ40" s="27"/>
      <c r="BK40" s="27"/>
      <c r="BL40" s="27"/>
      <c r="BM40" s="27"/>
      <c r="BN40" s="27"/>
      <c r="BO40" s="27"/>
      <c r="BP40" s="27"/>
      <c r="BQ40" s="27"/>
      <c r="BR40" s="27"/>
      <c r="BS40" s="27"/>
      <c r="BT40" s="27"/>
      <c r="BU40" s="27"/>
      <c r="BV40" s="27"/>
      <c r="BW40" s="27"/>
      <c r="BX40" s="27"/>
      <c r="CA40" s="27"/>
      <c r="CB40" s="27"/>
      <c r="CC40" s="27"/>
      <c r="CD40" s="27"/>
      <c r="CE40" s="27"/>
      <c r="CF40" s="27"/>
      <c r="CG40" s="27"/>
      <c r="CH40" s="27"/>
      <c r="CI40" s="27"/>
      <c r="CJ40" s="27"/>
      <c r="CK40" s="27"/>
      <c r="CL40" s="27"/>
      <c r="CM40" s="27"/>
      <c r="CN40" s="27"/>
      <c r="CO40" s="27"/>
      <c r="CP40" s="27"/>
      <c r="CQ40" s="27"/>
      <c r="CR40" s="27"/>
    </row>
    <row r="41" spans="9:38" ht="11.25">
      <c r="I41" s="603" t="s">
        <v>21</v>
      </c>
      <c r="J41" s="603"/>
      <c r="K41" s="529" t="s">
        <v>660</v>
      </c>
      <c r="L41" s="529"/>
      <c r="M41" s="529"/>
      <c r="N41" s="593" t="s">
        <v>21</v>
      </c>
      <c r="O41" s="593"/>
      <c r="Q41" s="529" t="s">
        <v>661</v>
      </c>
      <c r="R41" s="529"/>
      <c r="S41" s="529"/>
      <c r="T41" s="529"/>
      <c r="U41" s="529"/>
      <c r="V41" s="529"/>
      <c r="W41" s="529"/>
      <c r="X41" s="529"/>
      <c r="Y41" s="529"/>
      <c r="Z41" s="529"/>
      <c r="AA41" s="529"/>
      <c r="AB41" s="529"/>
      <c r="AC41" s="529"/>
      <c r="AD41" s="529"/>
      <c r="AE41" s="529"/>
      <c r="AF41" s="603">
        <v>20</v>
      </c>
      <c r="AG41" s="603"/>
      <c r="AH41" s="603"/>
      <c r="AI41" s="655" t="s">
        <v>531</v>
      </c>
      <c r="AJ41" s="655"/>
      <c r="AK41" s="655"/>
      <c r="AL41" s="22" t="s">
        <v>5</v>
      </c>
    </row>
    <row r="44" s="21" customFormat="1" ht="12" customHeight="1">
      <c r="A44" s="25" t="s">
        <v>269</v>
      </c>
    </row>
    <row r="45" spans="1:161" s="21" customFormat="1" ht="40.5" customHeight="1">
      <c r="A45" s="681" t="s">
        <v>270</v>
      </c>
      <c r="B45" s="682"/>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2"/>
      <c r="BR45" s="682"/>
      <c r="BS45" s="682"/>
      <c r="BT45" s="682"/>
      <c r="BU45" s="682"/>
      <c r="BV45" s="682"/>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2"/>
      <c r="CS45" s="682"/>
      <c r="CT45" s="682"/>
      <c r="CU45" s="682"/>
      <c r="CV45" s="682"/>
      <c r="CW45" s="682"/>
      <c r="CX45" s="682"/>
      <c r="CY45" s="682"/>
      <c r="CZ45" s="682"/>
      <c r="DA45" s="682"/>
      <c r="DB45" s="682"/>
      <c r="DC45" s="682"/>
      <c r="DD45" s="682"/>
      <c r="DE45" s="682"/>
      <c r="DF45" s="682"/>
      <c r="DG45" s="682"/>
      <c r="DH45" s="682"/>
      <c r="DI45" s="682"/>
      <c r="DJ45" s="682"/>
      <c r="DK45" s="682"/>
      <c r="DL45" s="682"/>
      <c r="DM45" s="682"/>
      <c r="DN45" s="682"/>
      <c r="DO45" s="682"/>
      <c r="DP45" s="682"/>
      <c r="DQ45" s="682"/>
      <c r="DR45" s="682"/>
      <c r="DS45" s="682"/>
      <c r="DT45" s="682"/>
      <c r="DU45" s="682"/>
      <c r="DV45" s="682"/>
      <c r="DW45" s="682"/>
      <c r="DX45" s="682"/>
      <c r="DY45" s="682"/>
      <c r="DZ45" s="682"/>
      <c r="EA45" s="682"/>
      <c r="EB45" s="682"/>
      <c r="EC45" s="682"/>
      <c r="ED45" s="682"/>
      <c r="EE45" s="682"/>
      <c r="EF45" s="682"/>
      <c r="EG45" s="682"/>
      <c r="EH45" s="682"/>
      <c r="EI45" s="682"/>
      <c r="EJ45" s="682"/>
      <c r="EK45" s="682"/>
      <c r="EL45" s="682"/>
      <c r="EM45" s="682"/>
      <c r="EN45" s="682"/>
      <c r="EO45" s="682"/>
      <c r="EP45" s="682"/>
      <c r="EQ45" s="682"/>
      <c r="ER45" s="682"/>
      <c r="ES45" s="682"/>
      <c r="ET45" s="682"/>
      <c r="EU45" s="682"/>
      <c r="EV45" s="682"/>
      <c r="EW45" s="682"/>
      <c r="EX45" s="682"/>
      <c r="EY45" s="682"/>
      <c r="EZ45" s="682"/>
      <c r="FA45" s="682"/>
      <c r="FB45" s="682"/>
      <c r="FC45" s="682"/>
      <c r="FD45" s="682"/>
      <c r="FE45" s="682"/>
    </row>
    <row r="46" spans="1:161" s="21" customFormat="1" ht="21" customHeight="1">
      <c r="A46" s="439" t="s">
        <v>271</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9"/>
      <c r="CR46" s="439"/>
      <c r="CS46" s="439"/>
      <c r="CT46" s="439"/>
      <c r="CU46" s="439"/>
      <c r="CV46" s="439"/>
      <c r="CW46" s="439"/>
      <c r="CX46" s="439"/>
      <c r="CY46" s="439"/>
      <c r="CZ46" s="439"/>
      <c r="DA46" s="439"/>
      <c r="DB46" s="439"/>
      <c r="DC46" s="439"/>
      <c r="DD46" s="439"/>
      <c r="DE46" s="439"/>
      <c r="DF46" s="439"/>
      <c r="DG46" s="439"/>
      <c r="DH46" s="439"/>
      <c r="DI46" s="439"/>
      <c r="DJ46" s="439"/>
      <c r="DK46" s="439"/>
      <c r="DL46" s="439"/>
      <c r="DM46" s="439"/>
      <c r="DN46" s="439"/>
      <c r="DO46" s="439"/>
      <c r="DP46" s="439"/>
      <c r="DQ46" s="439"/>
      <c r="DR46" s="439"/>
      <c r="DS46" s="439"/>
      <c r="DT46" s="439"/>
      <c r="DU46" s="439"/>
      <c r="DV46" s="439"/>
      <c r="DW46" s="439"/>
      <c r="DX46" s="439"/>
      <c r="DY46" s="439"/>
      <c r="DZ46" s="439"/>
      <c r="EA46" s="439"/>
      <c r="EB46" s="439"/>
      <c r="EC46" s="439"/>
      <c r="ED46" s="439"/>
      <c r="EE46" s="439"/>
      <c r="EF46" s="439"/>
      <c r="EG46" s="439"/>
      <c r="EH46" s="439"/>
      <c r="EI46" s="439"/>
      <c r="EJ46" s="439"/>
      <c r="EK46" s="439"/>
      <c r="EL46" s="439"/>
      <c r="EM46" s="439"/>
      <c r="EN46" s="439"/>
      <c r="EO46" s="439"/>
      <c r="EP46" s="439"/>
      <c r="EQ46" s="439"/>
      <c r="ER46" s="439"/>
      <c r="ES46" s="439"/>
      <c r="ET46" s="439"/>
      <c r="EU46" s="439"/>
      <c r="EV46" s="439"/>
      <c r="EW46" s="439"/>
      <c r="EX46" s="439"/>
      <c r="EY46" s="439"/>
      <c r="EZ46" s="439"/>
      <c r="FA46" s="439"/>
      <c r="FB46" s="439"/>
      <c r="FC46" s="439"/>
      <c r="FD46" s="439"/>
      <c r="FE46" s="439"/>
    </row>
    <row r="47" s="21" customFormat="1" ht="11.25" customHeight="1">
      <c r="A47" s="25" t="s">
        <v>272</v>
      </c>
    </row>
    <row r="48" s="21" customFormat="1" ht="11.25" customHeight="1">
      <c r="A48" s="25" t="s">
        <v>273</v>
      </c>
    </row>
    <row r="49" s="21" customFormat="1" ht="11.25" customHeight="1">
      <c r="A49" s="25" t="s">
        <v>274</v>
      </c>
    </row>
    <row r="50" spans="1:161" s="21" customFormat="1" ht="20.25" customHeight="1">
      <c r="A50" s="683" t="s">
        <v>275</v>
      </c>
      <c r="B50" s="684"/>
      <c r="C50" s="684"/>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c r="AX50" s="684"/>
      <c r="AY50" s="684"/>
      <c r="AZ50" s="684"/>
      <c r="BA50" s="684"/>
      <c r="BB50" s="684"/>
      <c r="BC50" s="684"/>
      <c r="BD50" s="684"/>
      <c r="BE50" s="684"/>
      <c r="BF50" s="684"/>
      <c r="BG50" s="684"/>
      <c r="BH50" s="684"/>
      <c r="BI50" s="684"/>
      <c r="BJ50" s="684"/>
      <c r="BK50" s="684"/>
      <c r="BL50" s="684"/>
      <c r="BM50" s="684"/>
      <c r="BN50" s="684"/>
      <c r="BO50" s="684"/>
      <c r="BP50" s="684"/>
      <c r="BQ50" s="684"/>
      <c r="BR50" s="684"/>
      <c r="BS50" s="684"/>
      <c r="BT50" s="684"/>
      <c r="BU50" s="684"/>
      <c r="BV50" s="684"/>
      <c r="BW50" s="684"/>
      <c r="BX50" s="684"/>
      <c r="BY50" s="684"/>
      <c r="BZ50" s="684"/>
      <c r="CA50" s="684"/>
      <c r="CB50" s="684"/>
      <c r="CC50" s="684"/>
      <c r="CD50" s="684"/>
      <c r="CE50" s="684"/>
      <c r="CF50" s="684"/>
      <c r="CG50" s="684"/>
      <c r="CH50" s="684"/>
      <c r="CI50" s="684"/>
      <c r="CJ50" s="684"/>
      <c r="CK50" s="684"/>
      <c r="CL50" s="684"/>
      <c r="CM50" s="684"/>
      <c r="CN50" s="684"/>
      <c r="CO50" s="684"/>
      <c r="CP50" s="684"/>
      <c r="CQ50" s="684"/>
      <c r="CR50" s="684"/>
      <c r="CS50" s="684"/>
      <c r="CT50" s="684"/>
      <c r="CU50" s="684"/>
      <c r="CV50" s="684"/>
      <c r="CW50" s="684"/>
      <c r="CX50" s="684"/>
      <c r="CY50" s="684"/>
      <c r="CZ50" s="684"/>
      <c r="DA50" s="684"/>
      <c r="DB50" s="684"/>
      <c r="DC50" s="684"/>
      <c r="DD50" s="684"/>
      <c r="DE50" s="684"/>
      <c r="DF50" s="684"/>
      <c r="DG50" s="684"/>
      <c r="DH50" s="684"/>
      <c r="DI50" s="684"/>
      <c r="DJ50" s="684"/>
      <c r="DK50" s="684"/>
      <c r="DL50" s="684"/>
      <c r="DM50" s="684"/>
      <c r="DN50" s="684"/>
      <c r="DO50" s="684"/>
      <c r="DP50" s="684"/>
      <c r="DQ50" s="684"/>
      <c r="DR50" s="684"/>
      <c r="DS50" s="684"/>
      <c r="DT50" s="684"/>
      <c r="DU50" s="684"/>
      <c r="DV50" s="684"/>
      <c r="DW50" s="684"/>
      <c r="DX50" s="684"/>
      <c r="DY50" s="684"/>
      <c r="DZ50" s="684"/>
      <c r="EA50" s="684"/>
      <c r="EB50" s="684"/>
      <c r="EC50" s="684"/>
      <c r="ED50" s="684"/>
      <c r="EE50" s="684"/>
      <c r="EF50" s="684"/>
      <c r="EG50" s="684"/>
      <c r="EH50" s="684"/>
      <c r="EI50" s="684"/>
      <c r="EJ50" s="684"/>
      <c r="EK50" s="684"/>
      <c r="EL50" s="684"/>
      <c r="EM50" s="684"/>
      <c r="EN50" s="684"/>
      <c r="EO50" s="684"/>
      <c r="EP50" s="684"/>
      <c r="EQ50" s="684"/>
      <c r="ER50" s="684"/>
      <c r="ES50" s="684"/>
      <c r="ET50" s="684"/>
      <c r="EU50" s="684"/>
      <c r="EV50" s="684"/>
      <c r="EW50" s="684"/>
      <c r="EX50" s="684"/>
      <c r="EY50" s="684"/>
      <c r="EZ50" s="684"/>
      <c r="FA50" s="684"/>
      <c r="FB50" s="684"/>
      <c r="FC50" s="684"/>
      <c r="FD50" s="684"/>
      <c r="FE50" s="684"/>
    </row>
    <row r="51" ht="3" customHeight="1"/>
  </sheetData>
  <sheetProtection/>
  <mergeCells count="242">
    <mergeCell ref="ES32:FE32"/>
    <mergeCell ref="ES29:FE29"/>
    <mergeCell ref="DS30:EE30"/>
    <mergeCell ref="EF30:ER30"/>
    <mergeCell ref="ES30:FE30"/>
    <mergeCell ref="DS31:EE31"/>
    <mergeCell ref="EF31:ER31"/>
    <mergeCell ref="ES31:FE31"/>
    <mergeCell ref="I3:CM5"/>
    <mergeCell ref="CN3:CU5"/>
    <mergeCell ref="CV3:DE5"/>
    <mergeCell ref="I32:CM32"/>
    <mergeCell ref="DF29:DR29"/>
    <mergeCell ref="DF30:DR30"/>
    <mergeCell ref="DF31:DR31"/>
    <mergeCell ref="DF32:DR32"/>
    <mergeCell ref="CN6:CU6"/>
    <mergeCell ref="CV6:DE6"/>
    <mergeCell ref="CV29:DE29"/>
    <mergeCell ref="CV30:DE30"/>
    <mergeCell ref="CV31:DE31"/>
    <mergeCell ref="CV32:DE32"/>
    <mergeCell ref="DS29:EE29"/>
    <mergeCell ref="EF29:ER29"/>
    <mergeCell ref="DS32:EE32"/>
    <mergeCell ref="EF32:ER32"/>
    <mergeCell ref="DF3:FE3"/>
    <mergeCell ref="DF4:DK4"/>
    <mergeCell ref="DL4:DN4"/>
    <mergeCell ref="DO4:DR4"/>
    <mergeCell ref="DS4:DX4"/>
    <mergeCell ref="EO4:ER4"/>
    <mergeCell ref="ES4:FE5"/>
    <mergeCell ref="DF5:DR5"/>
    <mergeCell ref="DS5:EE5"/>
    <mergeCell ref="EF5:ER5"/>
    <mergeCell ref="DS6:EE6"/>
    <mergeCell ref="EF6:ER6"/>
    <mergeCell ref="ES6:FE6"/>
    <mergeCell ref="A3:H5"/>
    <mergeCell ref="A6:H6"/>
    <mergeCell ref="DY4:EA4"/>
    <mergeCell ref="EB4:EE4"/>
    <mergeCell ref="EF4:EK4"/>
    <mergeCell ref="EL4:EN4"/>
    <mergeCell ref="I6:CM6"/>
    <mergeCell ref="B1:FD1"/>
    <mergeCell ref="A7:H7"/>
    <mergeCell ref="I7:CM7"/>
    <mergeCell ref="CN7:CU7"/>
    <mergeCell ref="CV7:DE7"/>
    <mergeCell ref="DF7:DR7"/>
    <mergeCell ref="DS7:EE7"/>
    <mergeCell ref="EF7:ER7"/>
    <mergeCell ref="ES7:FE7"/>
    <mergeCell ref="DF6:DR6"/>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5:DR25"/>
    <mergeCell ref="DF24:DR24"/>
    <mergeCell ref="DS24:EE24"/>
    <mergeCell ref="EF24:ER24"/>
    <mergeCell ref="ES24:FE24"/>
    <mergeCell ref="A24:H24"/>
    <mergeCell ref="I24:CM24"/>
    <mergeCell ref="CN24:CU24"/>
    <mergeCell ref="CV24:DE24"/>
    <mergeCell ref="I26:CM26"/>
    <mergeCell ref="I27:CM27"/>
    <mergeCell ref="CN29:CU32"/>
    <mergeCell ref="EF25:ER25"/>
    <mergeCell ref="ES25:FE25"/>
    <mergeCell ref="A25:H25"/>
    <mergeCell ref="I25:CM25"/>
    <mergeCell ref="CN25:CU25"/>
    <mergeCell ref="CV25:DE25"/>
    <mergeCell ref="DS25:EE25"/>
    <mergeCell ref="DF26:DR27"/>
    <mergeCell ref="DS26:EE27"/>
    <mergeCell ref="EF26:ER27"/>
    <mergeCell ref="A26:H27"/>
    <mergeCell ref="A29:H32"/>
    <mergeCell ref="I29:CM29"/>
    <mergeCell ref="A28:H28"/>
    <mergeCell ref="DS28:EE28"/>
    <mergeCell ref="CN26:CU27"/>
    <mergeCell ref="CV26:DE27"/>
    <mergeCell ref="Q41:AE41"/>
    <mergeCell ref="H35:AP35"/>
    <mergeCell ref="AM38:BD38"/>
    <mergeCell ref="ES26:FE27"/>
    <mergeCell ref="I28:CM28"/>
    <mergeCell ref="CN28:CU28"/>
    <mergeCell ref="CV28:DE28"/>
    <mergeCell ref="DF28:DR28"/>
    <mergeCell ref="EF28:ER28"/>
    <mergeCell ref="ES28:FE28"/>
    <mergeCell ref="AQ35:BH35"/>
    <mergeCell ref="BK35:BV35"/>
    <mergeCell ref="BK36:BV36"/>
    <mergeCell ref="BY35:CR35"/>
    <mergeCell ref="A45:FE45"/>
    <mergeCell ref="A50:FE50"/>
    <mergeCell ref="A46:FE46"/>
    <mergeCell ref="I41:J41"/>
    <mergeCell ref="K41:M41"/>
    <mergeCell ref="N41:O41"/>
    <mergeCell ref="BY36:CR36"/>
    <mergeCell ref="AF41:AH41"/>
    <mergeCell ref="AI41:AK41"/>
    <mergeCell ref="CA38:CR38"/>
    <mergeCell ref="CA39:CR39"/>
    <mergeCell ref="AM39:BD39"/>
    <mergeCell ref="BG38:BX38"/>
    <mergeCell ref="BG39:BX39"/>
    <mergeCell ref="AQ36:BH36"/>
  </mergeCells>
  <printOptions/>
  <pageMargins left="0.4330708661417323" right="0.2362204724409449" top="0.7480314960629921" bottom="0.7480314960629921" header="0.31496062992125984" footer="0.31496062992125984"/>
  <pageSetup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FF00"/>
  </sheetPr>
  <dimension ref="A1:T337"/>
  <sheetViews>
    <sheetView view="pageBreakPreview" zoomScale="60" zoomScaleNormal="68" zoomScalePageLayoutView="0" workbookViewId="0" topLeftCell="A115">
      <selection activeCell="A193" sqref="A193:E193"/>
    </sheetView>
  </sheetViews>
  <sheetFormatPr defaultColWidth="9.00390625" defaultRowHeight="12.75"/>
  <cols>
    <col min="1" max="1" width="8.625" style="1" customWidth="1"/>
    <col min="2" max="2" width="68.00390625" style="1" customWidth="1"/>
    <col min="3" max="3" width="21.625" style="1" customWidth="1"/>
    <col min="4" max="4" width="25.625" style="1" customWidth="1"/>
    <col min="5" max="5" width="27.75390625" style="1" customWidth="1"/>
    <col min="6" max="6" width="24.25390625" style="1" customWidth="1"/>
    <col min="7" max="7" width="23.625" style="1" customWidth="1"/>
    <col min="8" max="8" width="18.625" style="1" customWidth="1"/>
    <col min="9" max="9" width="17.125" style="1" customWidth="1"/>
    <col min="10" max="11" width="23.75390625" style="1" customWidth="1"/>
    <col min="12" max="12" width="34.625" style="1" customWidth="1"/>
    <col min="13" max="13" width="25.875" style="1" customWidth="1"/>
    <col min="14" max="14" width="18.75390625" style="1" customWidth="1"/>
    <col min="15" max="15" width="23.375" style="1" customWidth="1"/>
    <col min="16" max="16" width="38.75390625" style="1" customWidth="1"/>
    <col min="17" max="17" width="17.00390625" style="1" customWidth="1"/>
    <col min="18" max="18" width="15.75390625" style="1" customWidth="1"/>
    <col min="19" max="19" width="14.625" style="1" customWidth="1"/>
    <col min="20" max="20" width="14.25390625" style="1" customWidth="1"/>
    <col min="21" max="21" width="10.625" style="1" customWidth="1"/>
    <col min="22" max="22" width="14.125" style="1" customWidth="1"/>
    <col min="23" max="23" width="13.125" style="1" customWidth="1"/>
    <col min="24" max="24" width="14.125" style="1" customWidth="1"/>
    <col min="25" max="25" width="10.625" style="1" bestFit="1" customWidth="1"/>
    <col min="26" max="26" width="14.125" style="1" bestFit="1" customWidth="1"/>
    <col min="27" max="27" width="22.875" style="1" bestFit="1" customWidth="1"/>
    <col min="28" max="16384" width="9.125" style="1" customWidth="1"/>
  </cols>
  <sheetData>
    <row r="1" spans="10:11" ht="18.75">
      <c r="J1" s="2" t="s">
        <v>282</v>
      </c>
      <c r="K1" s="2"/>
    </row>
    <row r="2" spans="10:11" ht="18.75">
      <c r="J2" s="2" t="s">
        <v>283</v>
      </c>
      <c r="K2" s="2"/>
    </row>
    <row r="3" spans="10:11" ht="16.5">
      <c r="J3" s="3" t="s">
        <v>284</v>
      </c>
      <c r="K3" s="3"/>
    </row>
    <row r="4" spans="10:11" ht="16.5">
      <c r="J4" s="3" t="s">
        <v>285</v>
      </c>
      <c r="K4" s="3"/>
    </row>
    <row r="5" spans="10:11" ht="16.5">
      <c r="J5" s="3" t="s">
        <v>286</v>
      </c>
      <c r="K5" s="3"/>
    </row>
    <row r="6" spans="10:11" ht="16.5">
      <c r="J6" s="3" t="s">
        <v>287</v>
      </c>
      <c r="K6" s="3"/>
    </row>
    <row r="7" spans="10:11" ht="16.5">
      <c r="J7" s="3" t="s">
        <v>288</v>
      </c>
      <c r="K7" s="3"/>
    </row>
    <row r="8" spans="10:11" ht="16.5">
      <c r="J8" s="3" t="s">
        <v>392</v>
      </c>
      <c r="K8" s="3"/>
    </row>
    <row r="9" ht="15"/>
    <row r="10" spans="1:13" ht="15" customHeight="1">
      <c r="A10" s="712" t="s">
        <v>513</v>
      </c>
      <c r="B10" s="712"/>
      <c r="C10" s="712"/>
      <c r="D10" s="712"/>
      <c r="E10" s="712"/>
      <c r="F10" s="712"/>
      <c r="G10" s="712"/>
      <c r="H10" s="712"/>
      <c r="I10" s="712"/>
      <c r="J10" s="712"/>
      <c r="K10" s="290"/>
      <c r="M10" s="44"/>
    </row>
    <row r="11" spans="1:13" ht="18.75">
      <c r="A11" s="712" t="s">
        <v>393</v>
      </c>
      <c r="B11" s="712"/>
      <c r="C11" s="712"/>
      <c r="D11" s="712"/>
      <c r="E11" s="712"/>
      <c r="F11" s="712"/>
      <c r="G11" s="712"/>
      <c r="H11" s="712"/>
      <c r="I11" s="712"/>
      <c r="J11" s="712"/>
      <c r="K11" s="290"/>
      <c r="M11" s="44"/>
    </row>
    <row r="12" spans="1:20" ht="18.75">
      <c r="A12" s="713" t="s">
        <v>289</v>
      </c>
      <c r="B12" s="713"/>
      <c r="C12" s="713"/>
      <c r="D12" s="713"/>
      <c r="E12" s="713"/>
      <c r="F12" s="713"/>
      <c r="G12" s="713"/>
      <c r="H12" s="713"/>
      <c r="I12" s="713"/>
      <c r="J12" s="713"/>
      <c r="K12" s="304"/>
      <c r="N12" s="1">
        <v>106.383703037978</v>
      </c>
      <c r="P12" s="1" t="s">
        <v>290</v>
      </c>
      <c r="T12" s="1">
        <v>306500</v>
      </c>
    </row>
    <row r="13" spans="1:13" ht="21" customHeight="1">
      <c r="A13" s="713" t="s">
        <v>291</v>
      </c>
      <c r="B13" s="713"/>
      <c r="C13" s="713"/>
      <c r="D13" s="713"/>
      <c r="E13" s="713"/>
      <c r="F13" s="713"/>
      <c r="G13" s="713"/>
      <c r="H13" s="713"/>
      <c r="I13" s="713"/>
      <c r="J13" s="713"/>
      <c r="K13" s="304"/>
      <c r="M13" s="44"/>
    </row>
    <row r="14" spans="1:11" ht="19.5" thickBot="1">
      <c r="A14" s="712" t="s">
        <v>394</v>
      </c>
      <c r="B14" s="712"/>
      <c r="C14" s="712"/>
      <c r="D14" s="712"/>
      <c r="E14" s="712"/>
      <c r="F14" s="712"/>
      <c r="G14" s="712"/>
      <c r="H14" s="712"/>
      <c r="I14" s="712"/>
      <c r="J14" s="712"/>
      <c r="K14" s="290"/>
    </row>
    <row r="15" spans="1:13" ht="36" customHeight="1" thickBot="1">
      <c r="A15" s="709" t="s">
        <v>292</v>
      </c>
      <c r="B15" s="709" t="s">
        <v>293</v>
      </c>
      <c r="C15" s="709" t="s">
        <v>294</v>
      </c>
      <c r="D15" s="706" t="s">
        <v>295</v>
      </c>
      <c r="E15" s="707"/>
      <c r="F15" s="707"/>
      <c r="G15" s="708"/>
      <c r="H15" s="709" t="s">
        <v>296</v>
      </c>
      <c r="I15" s="709" t="s">
        <v>297</v>
      </c>
      <c r="J15" s="709" t="s">
        <v>298</v>
      </c>
      <c r="K15" s="297"/>
      <c r="M15" s="44"/>
    </row>
    <row r="16" spans="1:11" ht="19.5" thickBot="1">
      <c r="A16" s="710"/>
      <c r="B16" s="710"/>
      <c r="C16" s="710"/>
      <c r="D16" s="709" t="s">
        <v>299</v>
      </c>
      <c r="E16" s="706" t="s">
        <v>50</v>
      </c>
      <c r="F16" s="707"/>
      <c r="G16" s="708"/>
      <c r="H16" s="710"/>
      <c r="I16" s="710"/>
      <c r="J16" s="710"/>
      <c r="K16" s="297"/>
    </row>
    <row r="17" spans="1:15" ht="66.75" customHeight="1" thickBot="1">
      <c r="A17" s="711"/>
      <c r="B17" s="711"/>
      <c r="C17" s="711"/>
      <c r="D17" s="711"/>
      <c r="E17" s="305" t="s">
        <v>300</v>
      </c>
      <c r="F17" s="305" t="s">
        <v>301</v>
      </c>
      <c r="G17" s="305" t="s">
        <v>302</v>
      </c>
      <c r="H17" s="711"/>
      <c r="I17" s="711"/>
      <c r="J17" s="711"/>
      <c r="K17" s="297"/>
      <c r="O17" s="44">
        <f>N23-N17</f>
        <v>12803853.18589</v>
      </c>
    </row>
    <row r="18" spans="1:15" ht="19.5" thickBot="1">
      <c r="A18" s="301">
        <v>1</v>
      </c>
      <c r="B18" s="305">
        <v>2</v>
      </c>
      <c r="C18" s="305">
        <v>3</v>
      </c>
      <c r="D18" s="305">
        <v>4</v>
      </c>
      <c r="E18" s="305">
        <v>5</v>
      </c>
      <c r="F18" s="305">
        <v>6</v>
      </c>
      <c r="G18" s="305">
        <v>7</v>
      </c>
      <c r="H18" s="305">
        <v>8</v>
      </c>
      <c r="I18" s="305">
        <v>9</v>
      </c>
      <c r="J18" s="305">
        <v>10</v>
      </c>
      <c r="K18" s="297"/>
      <c r="M18" s="44"/>
      <c r="N18" s="297">
        <v>4.3</v>
      </c>
      <c r="O18" s="44"/>
    </row>
    <row r="19" spans="1:14" ht="22.5" customHeight="1" thickBot="1">
      <c r="A19" s="730" t="s">
        <v>439</v>
      </c>
      <c r="B19" s="731"/>
      <c r="C19" s="731"/>
      <c r="D19" s="731"/>
      <c r="E19" s="731"/>
      <c r="F19" s="731"/>
      <c r="G19" s="731"/>
      <c r="H19" s="731"/>
      <c r="I19" s="731"/>
      <c r="J19" s="732"/>
      <c r="K19" s="297"/>
      <c r="M19" s="44"/>
      <c r="N19" s="297"/>
    </row>
    <row r="20" spans="1:16" ht="30.75" customHeight="1" thickBot="1">
      <c r="A20" s="301"/>
      <c r="B20" s="301" t="s">
        <v>303</v>
      </c>
      <c r="C20" s="188">
        <v>5</v>
      </c>
      <c r="D20" s="46">
        <f>E20+F20+G20</f>
        <v>51365.33851282051</v>
      </c>
      <c r="E20" s="46">
        <f>140486/C20</f>
        <v>28097.2</v>
      </c>
      <c r="F20" s="46"/>
      <c r="G20" s="46">
        <f>E20*L20+6429.657051-1971.61602535896+384.46153846+2339.63441025794-26362.016+21819.216-6216.25641025641+1712.29397435896+2277.99999999998-3869.56397435895-1372.87205128205</f>
        <v>23268.138512820507</v>
      </c>
      <c r="H20" s="46"/>
      <c r="I20" s="46">
        <v>1.6</v>
      </c>
      <c r="J20" s="46">
        <f>((D20*I20)+(D20))*C20*12</f>
        <v>8012992.808</v>
      </c>
      <c r="K20" s="47"/>
      <c r="L20" s="48">
        <v>1</v>
      </c>
      <c r="M20" s="44"/>
      <c r="N20" s="169">
        <f>8852958.968-1000000+267117.86+107084.02-214168.04</f>
        <v>8012992.808</v>
      </c>
      <c r="O20" s="189">
        <f>N20-J20</f>
        <v>0</v>
      </c>
      <c r="P20" s="190">
        <f>O20/2.6/12/C20</f>
        <v>0</v>
      </c>
    </row>
    <row r="21" spans="1:16" ht="30" customHeight="1" thickBot="1">
      <c r="A21" s="301"/>
      <c r="B21" s="301" t="s">
        <v>304</v>
      </c>
      <c r="C21" s="188">
        <v>87.86</v>
      </c>
      <c r="D21" s="46">
        <f>E21+F21+G21</f>
        <v>11828.840585411961</v>
      </c>
      <c r="E21" s="46">
        <f>1036037.356/C21</f>
        <v>11791.911632142044</v>
      </c>
      <c r="F21" s="46"/>
      <c r="G21" s="46">
        <f>E21*L21+E21*0.2+1188.072118-972.040778558494+120.82355256-230.16187703+142.17623642-142.176236424555+572.238911145142-128.209079988097-441.599366923149-440.35954743813+457.023577832373+139.2003176325+337.342734688238+0.008862514045+198.151279569977-0.0000000002-337.351597202282+268.859429892195-173.333492858585+332.876027608505-159.542534749918+529.978340015669-33.4152229631267-30.1582490508231-4.50658839294755-1933.62700631218+852.541083954833-1.19002799744869-98.9863712782281+1412.13882096978-164.568502386494+851.069624303828-1702.13924860765+1725.42604970927+212.767406075959+12.9771096313847+25.9542192627726-94.5302648869096+42.6218263613644+12.9771096313879+106.383703037978-1725.42604970927-12.9771096313911+276.00453875431+12.9771096313847-2312.32265759203-166.134956836921+332.269910025855+29.5413595055093-1909.53741602316</f>
        <v>36.92895326991675</v>
      </c>
      <c r="H21" s="170"/>
      <c r="I21" s="46">
        <v>1.6</v>
      </c>
      <c r="J21" s="46">
        <f>((D21*I21)+(D21))*C21*12+0.01</f>
        <v>32425596.34563</v>
      </c>
      <c r="K21" s="47" t="s">
        <v>617</v>
      </c>
      <c r="L21" s="48">
        <v>0.0594</v>
      </c>
      <c r="M21" s="44"/>
      <c r="N21" s="169">
        <f>29551046.40563+447167.2+606734-391161+751200-360039+1196000-75408-68058-10170+2000000-2791.72-232214.9+3312776+1000000-2000000+500000+30496+60992-222144.61+100160.61+30496+250000+648606.25-455414.46+910828.91+0.01+80979.72-5234485.07</f>
        <v>32425596.34562999</v>
      </c>
      <c r="O21" s="189">
        <f>N21-J21</f>
        <v>0</v>
      </c>
      <c r="P21" s="190">
        <f>O21/2.6/12/C21</f>
        <v>0</v>
      </c>
    </row>
    <row r="22" spans="1:16" ht="31.5" customHeight="1" thickBot="1">
      <c r="A22" s="184"/>
      <c r="B22" s="301" t="s">
        <v>305</v>
      </c>
      <c r="C22" s="188">
        <v>6.5</v>
      </c>
      <c r="D22" s="46">
        <f>E22+F22+G22</f>
        <v>28016.923868244543</v>
      </c>
      <c r="E22" s="46">
        <f>43278/C22</f>
        <v>6658.153846153846</v>
      </c>
      <c r="F22" s="46"/>
      <c r="G22" s="46">
        <f>E22*L22+9149.184149-535.599999815849+991.1761655+737.117975350816-2909.65819846692-2465.48323471401-331.399999999997-305.699999999997+2565.24223821499-2509.20044378699-2465.48308678501-321.999999999995+17763.1283037475</f>
        <v>21358.770022090695</v>
      </c>
      <c r="H22" s="46"/>
      <c r="I22" s="46">
        <v>1.6</v>
      </c>
      <c r="J22" s="46">
        <f>((D22*I22)+(D22))*C22*12</f>
        <v>5681832.160479993</v>
      </c>
      <c r="K22" s="306">
        <v>804225.5</v>
      </c>
      <c r="L22" s="192">
        <v>0.3</v>
      </c>
      <c r="M22" s="44"/>
      <c r="N22" s="169">
        <f>2568104.43457+520231.12591-508865.85-499999.97+3602362.42</f>
        <v>5681832.16048</v>
      </c>
      <c r="O22" s="189">
        <f>N22-J22</f>
        <v>7.450580596923828E-09</v>
      </c>
      <c r="P22" s="190"/>
    </row>
    <row r="23" spans="1:20" ht="26.25" customHeight="1" thickBot="1">
      <c r="A23" s="294"/>
      <c r="B23" s="4" t="s">
        <v>306</v>
      </c>
      <c r="C23" s="188">
        <v>31.5</v>
      </c>
      <c r="D23" s="193">
        <f>E23+F23+G23</f>
        <v>13027.93364457672</v>
      </c>
      <c r="E23" s="194">
        <f>127597.5/C23</f>
        <v>4050.714285714286</v>
      </c>
      <c r="F23" s="195"/>
      <c r="G23" s="196">
        <f>E23*L23+2712.4505637-451.100000039523+295.546215616709-453.682736516355-457.810468092028+534.188034188033-551.444044866198-508.750508750508+101.750101750102-203.233333333335+6744.09124949125</f>
        <v>8977.219358862434</v>
      </c>
      <c r="H23" s="296"/>
      <c r="I23" s="193">
        <v>1.6</v>
      </c>
      <c r="J23" s="193">
        <f>((D23*I23)+(D23))*C23*12</f>
        <v>12803853.18589</v>
      </c>
      <c r="K23" s="47" t="s">
        <v>426</v>
      </c>
      <c r="L23" s="192">
        <v>0.3</v>
      </c>
      <c r="M23" s="44"/>
      <c r="N23" s="169">
        <f>6075760.30589+500000-500000+100000+6628092.88</f>
        <v>12803853.18589</v>
      </c>
      <c r="O23" s="189">
        <f>N23-J23</f>
        <v>0</v>
      </c>
      <c r="P23" s="190">
        <f>O23/2.6/12/C23</f>
        <v>0</v>
      </c>
      <c r="S23" s="44"/>
      <c r="T23" s="172"/>
    </row>
    <row r="24" spans="1:16" ht="26.25" customHeight="1" thickBot="1">
      <c r="A24" s="717" t="s">
        <v>307</v>
      </c>
      <c r="B24" s="718"/>
      <c r="C24" s="171">
        <f>SUM(C20:C23)</f>
        <v>130.86</v>
      </c>
      <c r="D24" s="171">
        <f aca="true" t="shared" si="0" ref="D24:I24">SUM(D20:D23)</f>
        <v>104239.03661105374</v>
      </c>
      <c r="E24" s="171">
        <f>SUM(E20:E23)</f>
        <v>50597.97976401017</v>
      </c>
      <c r="F24" s="171">
        <f t="shared" si="0"/>
        <v>0</v>
      </c>
      <c r="G24" s="171">
        <f t="shared" si="0"/>
        <v>53641.056847043554</v>
      </c>
      <c r="H24" s="171">
        <f t="shared" si="0"/>
        <v>0</v>
      </c>
      <c r="I24" s="171">
        <f t="shared" si="0"/>
        <v>6.4</v>
      </c>
      <c r="J24" s="197">
        <f>SUM(J20:J23)</f>
        <v>58924274.5</v>
      </c>
      <c r="K24" s="198">
        <f>4054723.61+269188.25+83272.63</f>
        <v>4407184.489999999</v>
      </c>
      <c r="M24" s="44"/>
      <c r="N24" s="199">
        <f>N20+N21+N22+N23</f>
        <v>58924274.499999985</v>
      </c>
      <c r="O24" s="189"/>
      <c r="P24" s="190"/>
    </row>
    <row r="25" spans="13:14" ht="15.75" hidden="1" thickBot="1">
      <c r="M25" s="44"/>
      <c r="N25" s="200"/>
    </row>
    <row r="26" spans="1:14" ht="21.75" customHeight="1" hidden="1">
      <c r="A26" s="719" t="s">
        <v>395</v>
      </c>
      <c r="B26" s="719"/>
      <c r="C26" s="719"/>
      <c r="D26" s="719"/>
      <c r="E26" s="719"/>
      <c r="F26" s="719"/>
      <c r="G26" s="201"/>
      <c r="K26" s="1" t="s">
        <v>427</v>
      </c>
      <c r="L26" s="202">
        <f>47076356+723922+3588000</f>
        <v>51388278</v>
      </c>
      <c r="M26" s="49"/>
      <c r="N26" s="200"/>
    </row>
    <row r="27" spans="12:15" ht="15.75" hidden="1" thickBot="1">
      <c r="L27" s="12">
        <f>L26-J24</f>
        <v>-7535996.5</v>
      </c>
      <c r="M27" s="44"/>
      <c r="N27" s="200"/>
      <c r="O27" s="44"/>
    </row>
    <row r="28" spans="1:15" ht="123" customHeight="1" hidden="1" thickBot="1">
      <c r="A28" s="4" t="s">
        <v>292</v>
      </c>
      <c r="B28" s="296" t="s">
        <v>308</v>
      </c>
      <c r="C28" s="296" t="s">
        <v>309</v>
      </c>
      <c r="D28" s="296" t="s">
        <v>310</v>
      </c>
      <c r="E28" s="296" t="s">
        <v>311</v>
      </c>
      <c r="F28" s="296" t="s">
        <v>312</v>
      </c>
      <c r="L28" s="12"/>
      <c r="M28" s="44"/>
      <c r="N28" s="200"/>
      <c r="O28" s="203"/>
    </row>
    <row r="29" spans="1:15" ht="19.5" hidden="1" thickBot="1">
      <c r="A29" s="301">
        <v>1</v>
      </c>
      <c r="B29" s="305">
        <v>2</v>
      </c>
      <c r="C29" s="305">
        <v>3</v>
      </c>
      <c r="D29" s="305">
        <v>4</v>
      </c>
      <c r="E29" s="305">
        <v>5</v>
      </c>
      <c r="F29" s="305">
        <v>6</v>
      </c>
      <c r="J29" s="44"/>
      <c r="K29" s="44"/>
      <c r="N29" s="200"/>
      <c r="O29" s="44"/>
    </row>
    <row r="30" spans="1:14" ht="19.5" hidden="1" thickBot="1">
      <c r="A30" s="301">
        <v>1</v>
      </c>
      <c r="B30" s="305"/>
      <c r="C30" s="50">
        <v>0</v>
      </c>
      <c r="D30" s="50">
        <v>0</v>
      </c>
      <c r="E30" s="50">
        <v>0</v>
      </c>
      <c r="F30" s="50">
        <f>C30*D30*E30</f>
        <v>0</v>
      </c>
      <c r="N30" s="200"/>
    </row>
    <row r="31" spans="1:14" ht="19.5" hidden="1" thickBot="1">
      <c r="A31" s="301"/>
      <c r="B31" s="303" t="s">
        <v>307</v>
      </c>
      <c r="C31" s="5" t="s">
        <v>313</v>
      </c>
      <c r="D31" s="5" t="s">
        <v>313</v>
      </c>
      <c r="E31" s="5" t="s">
        <v>313</v>
      </c>
      <c r="F31" s="204">
        <f>F30</f>
        <v>0</v>
      </c>
      <c r="M31" s="205"/>
      <c r="N31" s="200"/>
    </row>
    <row r="32" spans="1:19" ht="24" customHeight="1" thickBot="1">
      <c r="A32" s="723" t="s">
        <v>441</v>
      </c>
      <c r="B32" s="724"/>
      <c r="C32" s="724"/>
      <c r="D32" s="724"/>
      <c r="E32" s="724"/>
      <c r="F32" s="724"/>
      <c r="G32" s="724"/>
      <c r="H32" s="724"/>
      <c r="I32" s="724"/>
      <c r="J32" s="725"/>
      <c r="K32" s="307"/>
      <c r="L32" s="308"/>
      <c r="M32" s="309"/>
      <c r="N32" s="310"/>
      <c r="O32" s="308"/>
      <c r="P32" s="308"/>
      <c r="Q32" s="308"/>
      <c r="R32" s="308"/>
      <c r="S32" s="308"/>
    </row>
    <row r="33" spans="1:19" ht="30" customHeight="1" thickBot="1">
      <c r="A33" s="301"/>
      <c r="B33" s="301" t="s">
        <v>618</v>
      </c>
      <c r="C33" s="169"/>
      <c r="D33" s="46"/>
      <c r="E33" s="46"/>
      <c r="F33" s="46"/>
      <c r="G33" s="46"/>
      <c r="H33" s="170"/>
      <c r="I33" s="46"/>
      <c r="J33" s="311">
        <f>4054723.61+269188.25+83272.63</f>
        <v>4407184.489999999</v>
      </c>
      <c r="K33" s="312"/>
      <c r="L33" s="310"/>
      <c r="M33" s="313"/>
      <c r="N33" s="314"/>
      <c r="O33" s="313"/>
      <c r="P33" s="314"/>
      <c r="Q33" s="308"/>
      <c r="R33" s="308"/>
      <c r="S33" s="308"/>
    </row>
    <row r="34" spans="1:19" ht="30" customHeight="1" thickBot="1">
      <c r="A34" s="301"/>
      <c r="B34" s="301" t="s">
        <v>619</v>
      </c>
      <c r="C34" s="169"/>
      <c r="D34" s="46"/>
      <c r="E34" s="46"/>
      <c r="F34" s="46"/>
      <c r="G34" s="46"/>
      <c r="H34" s="170"/>
      <c r="I34" s="46"/>
      <c r="J34" s="311">
        <f>766844+76684.33-39302.83</f>
        <v>804225.5</v>
      </c>
      <c r="K34" s="312"/>
      <c r="L34" s="310"/>
      <c r="M34" s="313"/>
      <c r="N34" s="314"/>
      <c r="O34" s="313"/>
      <c r="P34" s="314"/>
      <c r="Q34" s="308"/>
      <c r="R34" s="308"/>
      <c r="S34" s="308"/>
    </row>
    <row r="35" spans="1:19" ht="26.25" customHeight="1" thickBot="1">
      <c r="A35" s="717" t="s">
        <v>307</v>
      </c>
      <c r="B35" s="718"/>
      <c r="C35" s="171"/>
      <c r="D35" s="171"/>
      <c r="E35" s="171"/>
      <c r="F35" s="171"/>
      <c r="G35" s="171"/>
      <c r="H35" s="171"/>
      <c r="I35" s="171"/>
      <c r="J35" s="315">
        <f>SUM(J33:J34)</f>
        <v>5211409.989999999</v>
      </c>
      <c r="K35" s="316">
        <f>4897029.62+1222.32+269188.25-J35</f>
        <v>-43969.79999999888</v>
      </c>
      <c r="L35" s="308">
        <v>5211409.99</v>
      </c>
      <c r="M35" s="309">
        <f>J35-L35</f>
        <v>0</v>
      </c>
      <c r="N35" s="310"/>
      <c r="O35" s="313"/>
      <c r="P35" s="314"/>
      <c r="Q35" s="308"/>
      <c r="R35" s="308"/>
      <c r="S35" s="308"/>
    </row>
    <row r="36" spans="11:14" ht="18.75">
      <c r="K36" s="206">
        <v>53498994.11</v>
      </c>
      <c r="L36" s="1" t="s">
        <v>545</v>
      </c>
      <c r="M36" s="30"/>
      <c r="N36" s="200"/>
    </row>
    <row r="37" spans="1:11" ht="18.75">
      <c r="A37" s="719" t="s">
        <v>396</v>
      </c>
      <c r="B37" s="719"/>
      <c r="C37" s="719"/>
      <c r="D37" s="719"/>
      <c r="E37" s="719"/>
      <c r="F37" s="719"/>
      <c r="K37" s="12">
        <f>K36-J24</f>
        <v>-5425280.390000001</v>
      </c>
    </row>
    <row r="38" spans="1:6" ht="19.5" thickBot="1">
      <c r="A38" s="736" t="s">
        <v>632</v>
      </c>
      <c r="B38" s="736"/>
      <c r="C38" s="736"/>
      <c r="D38" s="736"/>
      <c r="E38" s="736"/>
      <c r="F38" s="736"/>
    </row>
    <row r="39" spans="1:15" ht="88.5" customHeight="1" thickBot="1">
      <c r="A39" s="4" t="s">
        <v>292</v>
      </c>
      <c r="B39" s="296" t="s">
        <v>308</v>
      </c>
      <c r="C39" s="296" t="s">
        <v>314</v>
      </c>
      <c r="D39" s="296" t="s">
        <v>315</v>
      </c>
      <c r="E39" s="296" t="s">
        <v>316</v>
      </c>
      <c r="F39" s="296" t="s">
        <v>312</v>
      </c>
      <c r="K39" s="12"/>
      <c r="M39" s="51"/>
      <c r="N39" s="44"/>
      <c r="O39" s="52"/>
    </row>
    <row r="40" spans="1:12" ht="19.5" thickBot="1">
      <c r="A40" s="301">
        <v>1</v>
      </c>
      <c r="B40" s="305">
        <v>2</v>
      </c>
      <c r="C40" s="305">
        <v>3</v>
      </c>
      <c r="D40" s="305">
        <v>4</v>
      </c>
      <c r="E40" s="305">
        <v>5</v>
      </c>
      <c r="F40" s="305">
        <v>6</v>
      </c>
      <c r="K40" s="12"/>
      <c r="L40" s="12"/>
    </row>
    <row r="41" spans="1:17" ht="30.75" customHeight="1" hidden="1" thickBot="1">
      <c r="A41" s="301">
        <v>1</v>
      </c>
      <c r="B41" s="305" t="s">
        <v>317</v>
      </c>
      <c r="C41" s="84">
        <v>6</v>
      </c>
      <c r="D41" s="305">
        <v>12</v>
      </c>
      <c r="E41" s="50">
        <v>90</v>
      </c>
      <c r="F41" s="207"/>
      <c r="M41" s="12"/>
      <c r="O41" s="44"/>
      <c r="Q41" s="53"/>
    </row>
    <row r="42" spans="1:17" ht="30.75" customHeight="1" thickBot="1">
      <c r="A42" s="730" t="s">
        <v>439</v>
      </c>
      <c r="B42" s="731"/>
      <c r="C42" s="731"/>
      <c r="D42" s="731"/>
      <c r="E42" s="731"/>
      <c r="F42" s="732"/>
      <c r="M42" s="12"/>
      <c r="O42" s="44"/>
      <c r="Q42" s="53"/>
    </row>
    <row r="43" spans="1:6" ht="33" customHeight="1" thickBot="1">
      <c r="A43" s="301">
        <v>1</v>
      </c>
      <c r="B43" s="305" t="s">
        <v>549</v>
      </c>
      <c r="C43" s="305">
        <v>1</v>
      </c>
      <c r="D43" s="305">
        <v>1</v>
      </c>
      <c r="E43" s="46">
        <f>F43</f>
        <v>128307.66</v>
      </c>
      <c r="F43" s="207">
        <v>128307.66</v>
      </c>
    </row>
    <row r="44" spans="1:6" ht="33" customHeight="1" thickBot="1">
      <c r="A44" s="301">
        <v>2</v>
      </c>
      <c r="B44" s="305" t="s">
        <v>615</v>
      </c>
      <c r="C44" s="305">
        <v>1</v>
      </c>
      <c r="D44" s="305">
        <v>1</v>
      </c>
      <c r="E44" s="46">
        <f>F44</f>
        <v>11200</v>
      </c>
      <c r="F44" s="207">
        <v>11200</v>
      </c>
    </row>
    <row r="45" spans="1:6" ht="21.75" customHeight="1" thickBot="1">
      <c r="A45" s="301"/>
      <c r="B45" s="303" t="s">
        <v>307</v>
      </c>
      <c r="C45" s="5" t="s">
        <v>313</v>
      </c>
      <c r="D45" s="5" t="s">
        <v>313</v>
      </c>
      <c r="E45" s="5" t="s">
        <v>313</v>
      </c>
      <c r="F45" s="317">
        <f>+F43+F44</f>
        <v>139507.66</v>
      </c>
    </row>
    <row r="46" spans="1:6" ht="29.25" customHeight="1" thickBot="1">
      <c r="A46" s="730" t="s">
        <v>441</v>
      </c>
      <c r="B46" s="731"/>
      <c r="C46" s="731"/>
      <c r="D46" s="731"/>
      <c r="E46" s="731"/>
      <c r="F46" s="732"/>
    </row>
    <row r="47" spans="1:6" ht="33" customHeight="1" thickBot="1">
      <c r="A47" s="301">
        <v>1</v>
      </c>
      <c r="B47" s="305" t="s">
        <v>429</v>
      </c>
      <c r="C47" s="305"/>
      <c r="D47" s="305"/>
      <c r="E47" s="46">
        <f>F47</f>
        <v>826487.3</v>
      </c>
      <c r="F47" s="207">
        <v>826487.3</v>
      </c>
    </row>
    <row r="48" spans="1:6" ht="21.75" customHeight="1" thickBot="1">
      <c r="A48" s="301"/>
      <c r="B48" s="303" t="s">
        <v>307</v>
      </c>
      <c r="C48" s="5" t="s">
        <v>313</v>
      </c>
      <c r="D48" s="5" t="s">
        <v>313</v>
      </c>
      <c r="E48" s="5" t="s">
        <v>313</v>
      </c>
      <c r="F48" s="317">
        <f>F47</f>
        <v>826487.3</v>
      </c>
    </row>
    <row r="49" spans="1:6" ht="21.75" customHeight="1" thickBot="1">
      <c r="A49" s="730" t="s">
        <v>442</v>
      </c>
      <c r="B49" s="731"/>
      <c r="C49" s="731"/>
      <c r="D49" s="731"/>
      <c r="E49" s="731"/>
      <c r="F49" s="732"/>
    </row>
    <row r="50" spans="1:17" ht="33" customHeight="1" thickBot="1">
      <c r="A50" s="4">
        <v>1</v>
      </c>
      <c r="B50" s="295" t="s">
        <v>615</v>
      </c>
      <c r="C50" s="318">
        <v>1</v>
      </c>
      <c r="D50" s="4">
        <v>1</v>
      </c>
      <c r="E50" s="196">
        <f>F50</f>
        <v>4200</v>
      </c>
      <c r="F50" s="319">
        <v>4200</v>
      </c>
      <c r="K50" s="12"/>
      <c r="M50" s="12"/>
      <c r="O50" s="44"/>
      <c r="Q50" s="53"/>
    </row>
    <row r="51" spans="1:6" ht="33" customHeight="1" thickBot="1">
      <c r="A51" s="301">
        <v>2</v>
      </c>
      <c r="B51" s="320" t="s">
        <v>634</v>
      </c>
      <c r="C51" s="301"/>
      <c r="D51" s="301"/>
      <c r="E51" s="302"/>
      <c r="F51" s="207">
        <f>38884</f>
        <v>38884</v>
      </c>
    </row>
    <row r="52" spans="1:6" ht="33" customHeight="1" hidden="1" thickBot="1">
      <c r="A52" s="301"/>
      <c r="B52" s="320"/>
      <c r="C52" s="301"/>
      <c r="D52" s="301"/>
      <c r="E52" s="302"/>
      <c r="F52" s="207"/>
    </row>
    <row r="53" spans="1:6" ht="33" customHeight="1" hidden="1" thickBot="1">
      <c r="A53" s="301"/>
      <c r="B53" s="320"/>
      <c r="C53" s="301"/>
      <c r="D53" s="301"/>
      <c r="E53" s="302"/>
      <c r="F53" s="207"/>
    </row>
    <row r="54" spans="1:6" ht="21.75" customHeight="1" thickBot="1">
      <c r="A54" s="301"/>
      <c r="B54" s="321" t="s">
        <v>307</v>
      </c>
      <c r="C54" s="11" t="s">
        <v>313</v>
      </c>
      <c r="D54" s="5" t="s">
        <v>313</v>
      </c>
      <c r="E54" s="11" t="s">
        <v>313</v>
      </c>
      <c r="F54" s="317">
        <f>F50+F51</f>
        <v>43084</v>
      </c>
    </row>
    <row r="55" spans="1:6" ht="21.75" customHeight="1" thickBot="1">
      <c r="A55" s="301"/>
      <c r="B55" s="321" t="s">
        <v>633</v>
      </c>
      <c r="C55" s="11" t="s">
        <v>313</v>
      </c>
      <c r="D55" s="5" t="s">
        <v>313</v>
      </c>
      <c r="E55" s="11" t="s">
        <v>313</v>
      </c>
      <c r="F55" s="317">
        <f>F45+F48+F54</f>
        <v>1009078.9600000001</v>
      </c>
    </row>
    <row r="56" spans="1:6" ht="21.75" customHeight="1">
      <c r="A56" s="297"/>
      <c r="B56" s="82"/>
      <c r="C56" s="300"/>
      <c r="D56" s="300"/>
      <c r="E56" s="300"/>
      <c r="F56" s="322"/>
    </row>
    <row r="57" spans="1:12" ht="19.5" hidden="1" thickBot="1">
      <c r="A57" s="719" t="s">
        <v>528</v>
      </c>
      <c r="B57" s="719"/>
      <c r="C57" s="719"/>
      <c r="D57" s="719"/>
      <c r="E57" s="719"/>
      <c r="F57" s="719"/>
      <c r="L57" s="80"/>
    </row>
    <row r="58" spans="1:18" ht="66.75" customHeight="1" hidden="1" thickBot="1">
      <c r="A58" s="4" t="s">
        <v>292</v>
      </c>
      <c r="B58" s="296" t="s">
        <v>308</v>
      </c>
      <c r="C58" s="296" t="s">
        <v>314</v>
      </c>
      <c r="D58" s="296" t="s">
        <v>315</v>
      </c>
      <c r="E58" s="296" t="s">
        <v>316</v>
      </c>
      <c r="F58" s="296" t="s">
        <v>312</v>
      </c>
      <c r="L58" s="80"/>
      <c r="P58" s="51"/>
      <c r="Q58" s="44"/>
      <c r="R58" s="52"/>
    </row>
    <row r="59" spans="1:12" ht="19.5" hidden="1" thickBot="1">
      <c r="A59" s="301">
        <v>1</v>
      </c>
      <c r="B59" s="305">
        <v>2</v>
      </c>
      <c r="C59" s="305">
        <v>3</v>
      </c>
      <c r="D59" s="305">
        <v>4</v>
      </c>
      <c r="E59" s="305">
        <v>5</v>
      </c>
      <c r="F59" s="305">
        <v>6</v>
      </c>
      <c r="L59" s="80"/>
    </row>
    <row r="60" spans="1:19" ht="67.5" customHeight="1" hidden="1" thickBot="1">
      <c r="A60" s="301">
        <v>1</v>
      </c>
      <c r="B60" s="10" t="s">
        <v>529</v>
      </c>
      <c r="C60" s="305"/>
      <c r="D60" s="305"/>
      <c r="E60" s="50"/>
      <c r="F60" s="6"/>
      <c r="K60" s="299">
        <f>2160</f>
        <v>2160</v>
      </c>
      <c r="L60" s="81">
        <f>K60-F60</f>
        <v>2160</v>
      </c>
      <c r="O60" s="12" t="e">
        <f>J36-#REF!</f>
        <v>#REF!</v>
      </c>
      <c r="Q60" s="44"/>
      <c r="S60" s="53"/>
    </row>
    <row r="61" spans="1:12" ht="19.5" hidden="1" thickBot="1">
      <c r="A61" s="301"/>
      <c r="B61" s="303" t="s">
        <v>307</v>
      </c>
      <c r="C61" s="5" t="s">
        <v>313</v>
      </c>
      <c r="D61" s="5" t="s">
        <v>313</v>
      </c>
      <c r="E61" s="5" t="s">
        <v>313</v>
      </c>
      <c r="F61" s="7">
        <f>F60</f>
        <v>0</v>
      </c>
      <c r="K61" s="12" t="e">
        <f>4320-#REF!-F60</f>
        <v>#REF!</v>
      </c>
      <c r="L61" s="80"/>
    </row>
    <row r="62" spans="1:7" ht="48" customHeight="1" thickBot="1">
      <c r="A62" s="726" t="s">
        <v>542</v>
      </c>
      <c r="B62" s="726"/>
      <c r="C62" s="726"/>
      <c r="D62" s="726"/>
      <c r="E62" s="726"/>
      <c r="F62" s="726"/>
      <c r="G62" s="54"/>
    </row>
    <row r="63" spans="1:4" ht="94.5" customHeight="1" thickBot="1">
      <c r="A63" s="4" t="s">
        <v>292</v>
      </c>
      <c r="B63" s="296" t="s">
        <v>319</v>
      </c>
      <c r="C63" s="296" t="s">
        <v>320</v>
      </c>
      <c r="D63" s="296" t="s">
        <v>321</v>
      </c>
    </row>
    <row r="64" spans="1:4" ht="18" customHeight="1" thickBot="1">
      <c r="A64" s="323">
        <v>1</v>
      </c>
      <c r="B64" s="324">
        <v>2</v>
      </c>
      <c r="C64" s="324">
        <v>3</v>
      </c>
      <c r="D64" s="324">
        <v>4</v>
      </c>
    </row>
    <row r="65" spans="1:4" ht="18" customHeight="1" thickBot="1">
      <c r="A65" s="733" t="s">
        <v>439</v>
      </c>
      <c r="B65" s="734"/>
      <c r="C65" s="734"/>
      <c r="D65" s="735"/>
    </row>
    <row r="66" spans="1:12" ht="45" customHeight="1" thickBot="1">
      <c r="A66" s="301">
        <v>1</v>
      </c>
      <c r="B66" s="55" t="s">
        <v>322</v>
      </c>
      <c r="C66" s="305" t="s">
        <v>313</v>
      </c>
      <c r="D66" s="46">
        <f>D67+D69</f>
        <v>12326746.971</v>
      </c>
      <c r="K66" s="56"/>
      <c r="L66" s="44"/>
    </row>
    <row r="67" spans="1:11" ht="18.75">
      <c r="A67" s="709" t="s">
        <v>323</v>
      </c>
      <c r="B67" s="57" t="s">
        <v>50</v>
      </c>
      <c r="C67" s="709"/>
      <c r="D67" s="721">
        <f>(17149327.69+9209.79)-D70-D71</f>
        <v>12326746.971</v>
      </c>
      <c r="K67" s="56"/>
    </row>
    <row r="68" spans="1:11" ht="19.5" thickBot="1">
      <c r="A68" s="711"/>
      <c r="B68" s="58" t="s">
        <v>324</v>
      </c>
      <c r="C68" s="711"/>
      <c r="D68" s="722"/>
      <c r="K68" s="325"/>
    </row>
    <row r="69" spans="1:11" ht="19.5" thickBot="1">
      <c r="A69" s="301" t="s">
        <v>325</v>
      </c>
      <c r="B69" s="60" t="s">
        <v>326</v>
      </c>
      <c r="C69" s="305"/>
      <c r="D69" s="46"/>
      <c r="K69" s="59"/>
    </row>
    <row r="70" spans="1:11" ht="38.25" customHeight="1" thickBot="1">
      <c r="A70" s="301">
        <v>2</v>
      </c>
      <c r="B70" s="55" t="s">
        <v>327</v>
      </c>
      <c r="C70" s="305" t="s">
        <v>313</v>
      </c>
      <c r="D70" s="46">
        <f>C71*3.1%</f>
        <v>1826652.5095</v>
      </c>
      <c r="K70" s="61"/>
    </row>
    <row r="71" spans="1:12" ht="42.75" customHeight="1" thickBot="1">
      <c r="A71" s="301">
        <v>3</v>
      </c>
      <c r="B71" s="55" t="s">
        <v>328</v>
      </c>
      <c r="C71" s="46">
        <f>J24</f>
        <v>58924274.5</v>
      </c>
      <c r="D71" s="46">
        <f>C71*5.1%</f>
        <v>3005137.9995</v>
      </c>
      <c r="K71" s="47">
        <v>15883427.96</v>
      </c>
      <c r="L71" s="44">
        <f>D72-K71</f>
        <v>1275109.5199999996</v>
      </c>
    </row>
    <row r="72" spans="1:13" ht="20.25" customHeight="1" thickBot="1">
      <c r="A72" s="301"/>
      <c r="B72" s="303" t="s">
        <v>307</v>
      </c>
      <c r="C72" s="5" t="s">
        <v>313</v>
      </c>
      <c r="D72" s="85">
        <f>D67+D70+D71</f>
        <v>17158537.48</v>
      </c>
      <c r="F72" s="44"/>
      <c r="K72" s="62">
        <f>K71-K68</f>
        <v>15883427.96</v>
      </c>
      <c r="M72" s="44"/>
    </row>
    <row r="73" spans="1:11" ht="24.75" customHeight="1" thickBot="1">
      <c r="A73" s="731" t="s">
        <v>441</v>
      </c>
      <c r="B73" s="731"/>
      <c r="C73" s="731"/>
      <c r="D73" s="731"/>
      <c r="E73" s="326"/>
      <c r="F73" s="326"/>
      <c r="G73" s="54"/>
      <c r="K73" s="44">
        <f>15883427.96-D72</f>
        <v>-1275109.5199999996</v>
      </c>
    </row>
    <row r="74" spans="1:4" ht="80.25" customHeight="1" thickBot="1">
      <c r="A74" s="4" t="s">
        <v>292</v>
      </c>
      <c r="B74" s="296" t="s">
        <v>319</v>
      </c>
      <c r="C74" s="296" t="s">
        <v>320</v>
      </c>
      <c r="D74" s="296" t="s">
        <v>321</v>
      </c>
    </row>
    <row r="75" spans="1:4" ht="19.5" thickBot="1">
      <c r="A75" s="301">
        <v>1</v>
      </c>
      <c r="B75" s="305">
        <v>2</v>
      </c>
      <c r="C75" s="305">
        <v>3</v>
      </c>
      <c r="D75" s="305">
        <v>4</v>
      </c>
    </row>
    <row r="76" spans="1:4" ht="45" customHeight="1" thickBot="1">
      <c r="A76" s="301">
        <v>1</v>
      </c>
      <c r="B76" s="55" t="s">
        <v>322</v>
      </c>
      <c r="C76" s="305" t="s">
        <v>313</v>
      </c>
      <c r="D76" s="46">
        <f>D77+D79</f>
        <v>1090340.35082</v>
      </c>
    </row>
    <row r="77" spans="1:4" ht="18.75">
      <c r="A77" s="709" t="s">
        <v>323</v>
      </c>
      <c r="B77" s="57" t="s">
        <v>50</v>
      </c>
      <c r="C77" s="709"/>
      <c r="D77" s="721">
        <f>(1517675.97)-D80-D81</f>
        <v>1090340.35082</v>
      </c>
    </row>
    <row r="78" spans="1:11" ht="19.5" thickBot="1">
      <c r="A78" s="711"/>
      <c r="B78" s="58" t="s">
        <v>324</v>
      </c>
      <c r="C78" s="711"/>
      <c r="D78" s="722"/>
      <c r="K78" s="59" t="s">
        <v>428</v>
      </c>
    </row>
    <row r="79" spans="1:11" ht="19.5" thickBot="1">
      <c r="A79" s="301" t="s">
        <v>325</v>
      </c>
      <c r="B79" s="60" t="s">
        <v>326</v>
      </c>
      <c r="C79" s="305"/>
      <c r="D79" s="46"/>
      <c r="K79" s="59"/>
    </row>
    <row r="80" spans="1:11" ht="38.25" customHeight="1" thickBot="1">
      <c r="A80" s="301">
        <v>2</v>
      </c>
      <c r="B80" s="55" t="s">
        <v>327</v>
      </c>
      <c r="C80" s="305" t="s">
        <v>313</v>
      </c>
      <c r="D80" s="46">
        <f>C81*3.1%</f>
        <v>161553.70969</v>
      </c>
      <c r="K80" s="327"/>
    </row>
    <row r="81" spans="1:12" ht="42.75" customHeight="1" thickBot="1">
      <c r="A81" s="301">
        <v>3</v>
      </c>
      <c r="B81" s="55" t="s">
        <v>328</v>
      </c>
      <c r="C81" s="46">
        <f>J35</f>
        <v>5211409.989999999</v>
      </c>
      <c r="D81" s="46">
        <f>C81*5.1%</f>
        <v>265781.90948999993</v>
      </c>
      <c r="K81" s="47" t="s">
        <v>426</v>
      </c>
      <c r="L81" s="1" t="s">
        <v>620</v>
      </c>
    </row>
    <row r="82" spans="1:13" ht="30.75" customHeight="1" thickBot="1">
      <c r="A82" s="301"/>
      <c r="B82" s="303" t="s">
        <v>307</v>
      </c>
      <c r="C82" s="5" t="s">
        <v>313</v>
      </c>
      <c r="D82" s="85">
        <f>D77+D80+D81</f>
        <v>1517675.97</v>
      </c>
      <c r="K82" s="62">
        <f>1517675.97</f>
        <v>1517675.97</v>
      </c>
      <c r="L82" s="172">
        <v>231586.89</v>
      </c>
      <c r="M82" s="44"/>
    </row>
    <row r="83" spans="1:11" ht="15.75" customHeight="1">
      <c r="A83" s="719" t="s">
        <v>397</v>
      </c>
      <c r="B83" s="719"/>
      <c r="C83" s="719"/>
      <c r="D83" s="719"/>
      <c r="E83" s="719"/>
      <c r="F83" s="719"/>
      <c r="K83" s="328">
        <f>K82-D82</f>
        <v>0</v>
      </c>
    </row>
    <row r="84" spans="1:12" ht="18.75">
      <c r="A84" s="720" t="s">
        <v>547</v>
      </c>
      <c r="B84" s="720"/>
      <c r="C84" s="720"/>
      <c r="D84" s="720"/>
      <c r="E84" s="720"/>
      <c r="F84" s="720"/>
      <c r="K84" s="328"/>
      <c r="L84" s="44"/>
    </row>
    <row r="85" spans="1:6" ht="19.5" thickBot="1">
      <c r="A85" s="720" t="s">
        <v>330</v>
      </c>
      <c r="B85" s="720"/>
      <c r="C85" s="720"/>
      <c r="D85" s="720"/>
      <c r="E85" s="720"/>
      <c r="F85" s="720"/>
    </row>
    <row r="86" spans="1:11" ht="54.75" customHeight="1" thickBot="1">
      <c r="A86" s="4" t="s">
        <v>292</v>
      </c>
      <c r="B86" s="296" t="s">
        <v>0</v>
      </c>
      <c r="C86" s="296" t="s">
        <v>331</v>
      </c>
      <c r="D86" s="296" t="s">
        <v>332</v>
      </c>
      <c r="E86" s="296" t="s">
        <v>333</v>
      </c>
      <c r="K86" s="44"/>
    </row>
    <row r="87" spans="1:11" ht="19.5" thickBot="1">
      <c r="A87" s="301">
        <v>1</v>
      </c>
      <c r="B87" s="305">
        <v>2</v>
      </c>
      <c r="C87" s="305">
        <v>3</v>
      </c>
      <c r="D87" s="305">
        <v>4</v>
      </c>
      <c r="E87" s="305">
        <v>5</v>
      </c>
      <c r="K87" s="12"/>
    </row>
    <row r="88" spans="1:5" ht="25.5" customHeight="1" thickBot="1">
      <c r="A88" s="714" t="s">
        <v>439</v>
      </c>
      <c r="B88" s="715"/>
      <c r="C88" s="715"/>
      <c r="D88" s="715"/>
      <c r="E88" s="716"/>
    </row>
    <row r="89" spans="1:5" ht="41.25" customHeight="1" thickBot="1">
      <c r="A89" s="301">
        <v>1</v>
      </c>
      <c r="B89" s="10" t="s">
        <v>334</v>
      </c>
      <c r="C89" s="6">
        <v>0</v>
      </c>
      <c r="D89" s="6">
        <v>0</v>
      </c>
      <c r="E89" s="6">
        <v>30496</v>
      </c>
    </row>
    <row r="90" spans="1:5" ht="25.5" customHeight="1" thickBot="1">
      <c r="A90" s="714" t="s">
        <v>441</v>
      </c>
      <c r="B90" s="715"/>
      <c r="C90" s="715"/>
      <c r="D90" s="715"/>
      <c r="E90" s="716"/>
    </row>
    <row r="91" spans="1:5" ht="61.5" customHeight="1" thickBot="1">
      <c r="A91" s="301">
        <v>1</v>
      </c>
      <c r="B91" s="10" t="s">
        <v>529</v>
      </c>
      <c r="C91" s="6"/>
      <c r="D91" s="6"/>
      <c r="E91" s="6">
        <v>46626</v>
      </c>
    </row>
    <row r="92" spans="1:5" ht="19.5" thickBot="1">
      <c r="A92" s="301"/>
      <c r="B92" s="303" t="s">
        <v>307</v>
      </c>
      <c r="C92" s="7" t="s">
        <v>313</v>
      </c>
      <c r="D92" s="7" t="s">
        <v>313</v>
      </c>
      <c r="E92" s="7">
        <f>E91</f>
        <v>46626</v>
      </c>
    </row>
    <row r="93" spans="1:13" ht="19.5" thickBot="1">
      <c r="A93" s="301"/>
      <c r="B93" s="303" t="s">
        <v>443</v>
      </c>
      <c r="C93" s="5" t="s">
        <v>313</v>
      </c>
      <c r="D93" s="5" t="s">
        <v>313</v>
      </c>
      <c r="E93" s="7">
        <f>E89+E92</f>
        <v>77122</v>
      </c>
      <c r="F93" s="30"/>
      <c r="L93" s="12"/>
      <c r="M93" s="30"/>
    </row>
    <row r="94" spans="1:5" ht="18.75">
      <c r="A94" s="297"/>
      <c r="B94" s="82"/>
      <c r="C94" s="83"/>
      <c r="D94" s="83"/>
      <c r="E94" s="83"/>
    </row>
    <row r="95" spans="1:7" ht="18" customHeight="1">
      <c r="A95" s="712" t="s">
        <v>398</v>
      </c>
      <c r="B95" s="712"/>
      <c r="C95" s="712"/>
      <c r="D95" s="712"/>
      <c r="E95" s="712"/>
      <c r="F95" s="712"/>
      <c r="G95" s="712"/>
    </row>
    <row r="96" spans="1:7" ht="18.75">
      <c r="A96" s="720" t="s">
        <v>655</v>
      </c>
      <c r="B96" s="720"/>
      <c r="C96" s="720"/>
      <c r="D96" s="720"/>
      <c r="E96" s="720"/>
      <c r="F96" s="720"/>
      <c r="G96" s="720"/>
    </row>
    <row r="97" spans="1:7" ht="19.5" thickBot="1">
      <c r="A97" s="720" t="s">
        <v>335</v>
      </c>
      <c r="B97" s="720"/>
      <c r="C97" s="720"/>
      <c r="D97" s="720"/>
      <c r="E97" s="720"/>
      <c r="F97" s="720"/>
      <c r="G97" s="720"/>
    </row>
    <row r="98" spans="1:5" ht="76.5" customHeight="1" thickBot="1">
      <c r="A98" s="4" t="s">
        <v>292</v>
      </c>
      <c r="B98" s="296" t="s">
        <v>308</v>
      </c>
      <c r="C98" s="296" t="s">
        <v>331</v>
      </c>
      <c r="D98" s="296" t="s">
        <v>332</v>
      </c>
      <c r="E98" s="296" t="s">
        <v>657</v>
      </c>
    </row>
    <row r="99" spans="1:6" ht="19.5" thickBot="1">
      <c r="A99" s="301">
        <v>1</v>
      </c>
      <c r="B99" s="305">
        <v>2</v>
      </c>
      <c r="C99" s="305">
        <v>3</v>
      </c>
      <c r="D99" s="305">
        <v>4</v>
      </c>
      <c r="E99" s="305">
        <v>5</v>
      </c>
      <c r="F99" s="63"/>
    </row>
    <row r="100" spans="1:5" ht="25.5" customHeight="1" thickBot="1">
      <c r="A100" s="301"/>
      <c r="B100" s="714" t="s">
        <v>439</v>
      </c>
      <c r="C100" s="715"/>
      <c r="D100" s="715"/>
      <c r="E100" s="716"/>
    </row>
    <row r="101" spans="1:13" ht="27.75" customHeight="1" thickBot="1">
      <c r="A101" s="301">
        <v>1</v>
      </c>
      <c r="B101" s="305" t="s">
        <v>653</v>
      </c>
      <c r="C101" s="208">
        <v>10000</v>
      </c>
      <c r="D101" s="329">
        <v>1</v>
      </c>
      <c r="E101" s="207">
        <v>10000</v>
      </c>
      <c r="F101" s="63">
        <f>920141/0.022</f>
        <v>41824590.909090914</v>
      </c>
      <c r="H101" s="201"/>
      <c r="K101" s="1">
        <f>886681.49-99719.3</f>
        <v>786962.19</v>
      </c>
      <c r="L101" s="12">
        <f>K101*100/2.2</f>
        <v>35771008.63636363</v>
      </c>
      <c r="M101" s="12">
        <f>E101-K101</f>
        <v>-776962.19</v>
      </c>
    </row>
    <row r="102" spans="1:13" ht="27" customHeight="1" hidden="1" thickBot="1">
      <c r="A102" s="301">
        <v>2</v>
      </c>
      <c r="B102" s="305" t="s">
        <v>656</v>
      </c>
      <c r="C102" s="208">
        <v>0</v>
      </c>
      <c r="D102" s="329">
        <v>1</v>
      </c>
      <c r="E102" s="207">
        <v>0</v>
      </c>
      <c r="F102" s="63">
        <f>676857/0.015</f>
        <v>45123800</v>
      </c>
      <c r="K102" s="1">
        <v>278777.81</v>
      </c>
      <c r="L102" s="12">
        <f>K102*100/1.5</f>
        <v>18585187.333333332</v>
      </c>
      <c r="M102" s="12">
        <f>E102-K102</f>
        <v>-278777.81</v>
      </c>
    </row>
    <row r="103" spans="1:12" ht="27" customHeight="1" hidden="1">
      <c r="A103" s="301">
        <v>3</v>
      </c>
      <c r="B103" s="305" t="s">
        <v>521</v>
      </c>
      <c r="C103" s="6"/>
      <c r="D103" s="6"/>
      <c r="E103" s="6">
        <v>0</v>
      </c>
      <c r="F103" s="63"/>
      <c r="L103" s="12">
        <f>K103*100/2.2</f>
        <v>0</v>
      </c>
    </row>
    <row r="104" spans="1:12" ht="27" customHeight="1" hidden="1">
      <c r="A104" s="301">
        <v>4</v>
      </c>
      <c r="B104" s="305" t="s">
        <v>557</v>
      </c>
      <c r="C104" s="6"/>
      <c r="D104" s="6"/>
      <c r="E104" s="6">
        <v>0</v>
      </c>
      <c r="F104" s="63"/>
      <c r="L104" s="12">
        <f>K104*100/2.2</f>
        <v>0</v>
      </c>
    </row>
    <row r="105" spans="1:5" ht="19.5" thickBot="1">
      <c r="A105" s="301"/>
      <c r="B105" s="303" t="s">
        <v>307</v>
      </c>
      <c r="C105" s="7"/>
      <c r="D105" s="7" t="s">
        <v>313</v>
      </c>
      <c r="E105" s="171">
        <f>E102+E101+E103+E104</f>
        <v>10000</v>
      </c>
    </row>
    <row r="106" spans="1:7" ht="25.5" customHeight="1">
      <c r="A106" s="720" t="s">
        <v>399</v>
      </c>
      <c r="B106" s="720"/>
      <c r="C106" s="720"/>
      <c r="D106" s="720"/>
      <c r="E106" s="720"/>
      <c r="F106" s="720"/>
      <c r="G106" s="720"/>
    </row>
    <row r="107" spans="1:7" ht="19.5" thickBot="1">
      <c r="A107" s="720" t="s">
        <v>335</v>
      </c>
      <c r="B107" s="720"/>
      <c r="C107" s="720"/>
      <c r="D107" s="720"/>
      <c r="E107" s="720"/>
      <c r="F107" s="720"/>
      <c r="G107" s="720"/>
    </row>
    <row r="108" spans="1:5" ht="76.5" customHeight="1" thickBot="1">
      <c r="A108" s="4" t="s">
        <v>292</v>
      </c>
      <c r="B108" s="296" t="s">
        <v>308</v>
      </c>
      <c r="C108" s="296" t="s">
        <v>336</v>
      </c>
      <c r="D108" s="296" t="s">
        <v>337</v>
      </c>
      <c r="E108" s="296" t="s">
        <v>338</v>
      </c>
    </row>
    <row r="109" spans="1:6" ht="19.5" thickBot="1">
      <c r="A109" s="301">
        <v>1</v>
      </c>
      <c r="B109" s="305">
        <v>2</v>
      </c>
      <c r="C109" s="305">
        <v>3</v>
      </c>
      <c r="D109" s="305">
        <v>4</v>
      </c>
      <c r="E109" s="305">
        <v>5</v>
      </c>
      <c r="F109" s="63"/>
    </row>
    <row r="110" spans="1:5" ht="24" customHeight="1" thickBot="1">
      <c r="A110" s="301"/>
      <c r="B110" s="714" t="s">
        <v>439</v>
      </c>
      <c r="C110" s="715"/>
      <c r="D110" s="715"/>
      <c r="E110" s="716"/>
    </row>
    <row r="111" spans="1:13" ht="39.75" customHeight="1" thickBot="1">
      <c r="A111" s="301">
        <v>1</v>
      </c>
      <c r="B111" s="305" t="s">
        <v>339</v>
      </c>
      <c r="C111" s="330">
        <f>L111</f>
        <v>32991681.818181816</v>
      </c>
      <c r="D111" s="6">
        <v>2.2</v>
      </c>
      <c r="E111" s="6">
        <f>(C111*D111)/100</f>
        <v>725817</v>
      </c>
      <c r="F111" s="63">
        <f>920141/0.022</f>
        <v>41824590.909090914</v>
      </c>
      <c r="H111" s="201"/>
      <c r="K111" s="1">
        <v>725817</v>
      </c>
      <c r="L111" s="12">
        <f>K111*100/2.2</f>
        <v>32991681.818181816</v>
      </c>
      <c r="M111" s="12">
        <f>E111-K111</f>
        <v>0</v>
      </c>
    </row>
    <row r="112" spans="1:13" ht="39.75" customHeight="1" thickBot="1">
      <c r="A112" s="301">
        <v>2</v>
      </c>
      <c r="B112" s="305" t="s">
        <v>340</v>
      </c>
      <c r="C112" s="330">
        <f>L112</f>
        <v>21670200</v>
      </c>
      <c r="D112" s="6">
        <v>1.5</v>
      </c>
      <c r="E112" s="6">
        <f>(C112*D112)/100</f>
        <v>325053</v>
      </c>
      <c r="F112" s="63">
        <f>676857/0.015</f>
        <v>45123800</v>
      </c>
      <c r="K112" s="1">
        <v>325053</v>
      </c>
      <c r="L112" s="12">
        <f>K112*100/1.5</f>
        <v>21670200</v>
      </c>
      <c r="M112" s="12">
        <f>E112-K112</f>
        <v>0</v>
      </c>
    </row>
    <row r="113" spans="1:12" ht="27" customHeight="1" hidden="1" thickBot="1">
      <c r="A113" s="301">
        <v>3</v>
      </c>
      <c r="B113" s="305" t="s">
        <v>521</v>
      </c>
      <c r="C113" s="6"/>
      <c r="D113" s="6"/>
      <c r="E113" s="6">
        <v>0</v>
      </c>
      <c r="F113" s="63"/>
      <c r="L113" s="12">
        <f>K113*100/2.2</f>
        <v>0</v>
      </c>
    </row>
    <row r="114" spans="1:12" ht="7.5" customHeight="1" hidden="1" thickBot="1">
      <c r="A114" s="301">
        <v>4</v>
      </c>
      <c r="B114" s="305" t="s">
        <v>557</v>
      </c>
      <c r="C114" s="6"/>
      <c r="D114" s="6"/>
      <c r="E114" s="6">
        <v>0</v>
      </c>
      <c r="F114" s="63"/>
      <c r="L114" s="12">
        <f>K114*100/2.2</f>
        <v>0</v>
      </c>
    </row>
    <row r="115" spans="1:5" ht="19.5" thickBot="1">
      <c r="A115" s="301"/>
      <c r="B115" s="303" t="s">
        <v>307</v>
      </c>
      <c r="C115" s="7"/>
      <c r="D115" s="7" t="s">
        <v>313</v>
      </c>
      <c r="E115" s="7">
        <f>E112+E111+E113+E114</f>
        <v>1050870</v>
      </c>
    </row>
    <row r="116" spans="1:5" ht="18.75" hidden="1">
      <c r="A116" s="297"/>
      <c r="B116" s="82"/>
      <c r="C116" s="83"/>
      <c r="D116" s="83"/>
      <c r="E116" s="83"/>
    </row>
    <row r="117" spans="1:11" ht="23.25" customHeight="1" thickBot="1">
      <c r="A117" s="301"/>
      <c r="B117" s="714" t="s">
        <v>442</v>
      </c>
      <c r="C117" s="715"/>
      <c r="D117" s="715"/>
      <c r="E117" s="716"/>
      <c r="K117" s="331" t="s">
        <v>428</v>
      </c>
    </row>
    <row r="118" spans="1:11" ht="33" customHeight="1" thickBot="1">
      <c r="A118" s="301">
        <v>1</v>
      </c>
      <c r="B118" s="305" t="s">
        <v>610</v>
      </c>
      <c r="C118" s="6"/>
      <c r="D118" s="6"/>
      <c r="E118" s="6">
        <v>262.16</v>
      </c>
      <c r="K118" s="12">
        <f>131.31+502.81-E118</f>
        <v>371.96</v>
      </c>
    </row>
    <row r="119" spans="1:11" ht="33" customHeight="1" thickBot="1">
      <c r="A119" s="301">
        <v>2</v>
      </c>
      <c r="B119" s="305" t="s">
        <v>658</v>
      </c>
      <c r="C119" s="6"/>
      <c r="D119" s="6"/>
      <c r="E119" s="6">
        <f>15002.81</f>
        <v>15002.81</v>
      </c>
      <c r="K119" s="12"/>
    </row>
    <row r="120" spans="1:5" ht="19.5" thickBot="1">
      <c r="A120" s="301"/>
      <c r="B120" s="303" t="s">
        <v>307</v>
      </c>
      <c r="C120" s="7"/>
      <c r="D120" s="7" t="s">
        <v>313</v>
      </c>
      <c r="E120" s="7">
        <f>E118+E119</f>
        <v>15264.97</v>
      </c>
    </row>
    <row r="121" spans="1:13" ht="19.5" thickBot="1">
      <c r="A121" s="301"/>
      <c r="B121" s="303" t="s">
        <v>443</v>
      </c>
      <c r="C121" s="5" t="s">
        <v>313</v>
      </c>
      <c r="D121" s="5" t="s">
        <v>313</v>
      </c>
      <c r="E121" s="7">
        <f>E120+E115</f>
        <v>1066134.97</v>
      </c>
      <c r="F121" s="30"/>
      <c r="L121" s="12"/>
      <c r="M121" s="30"/>
    </row>
    <row r="122" spans="1:5" ht="18.75">
      <c r="A122" s="712" t="s">
        <v>400</v>
      </c>
      <c r="B122" s="712"/>
      <c r="C122" s="712"/>
      <c r="D122" s="712"/>
      <c r="E122" s="712"/>
    </row>
    <row r="123" ht="18.75">
      <c r="A123" s="8" t="s">
        <v>541</v>
      </c>
    </row>
    <row r="124" spans="1:7" ht="18.75">
      <c r="A124" s="291" t="s">
        <v>335</v>
      </c>
      <c r="B124" s="291"/>
      <c r="C124" s="291"/>
      <c r="D124" s="291"/>
      <c r="E124" s="291"/>
      <c r="F124" s="291"/>
      <c r="G124" s="291"/>
    </row>
    <row r="125" spans="1:6" ht="19.5" thickBot="1">
      <c r="A125" s="727" t="s">
        <v>401</v>
      </c>
      <c r="B125" s="727"/>
      <c r="C125" s="727"/>
      <c r="D125" s="727"/>
      <c r="E125" s="727"/>
      <c r="F125" s="727"/>
    </row>
    <row r="126" spans="1:6" ht="38.25" thickBot="1">
      <c r="A126" s="4" t="s">
        <v>292</v>
      </c>
      <c r="B126" s="296" t="s">
        <v>308</v>
      </c>
      <c r="C126" s="296" t="s">
        <v>341</v>
      </c>
      <c r="D126" s="296" t="s">
        <v>342</v>
      </c>
      <c r="E126" s="296" t="s">
        <v>343</v>
      </c>
      <c r="F126" s="296" t="s">
        <v>312</v>
      </c>
    </row>
    <row r="127" spans="1:6" ht="19.5" thickBot="1">
      <c r="A127" s="301">
        <v>1</v>
      </c>
      <c r="B127" s="305">
        <v>2</v>
      </c>
      <c r="C127" s="305">
        <v>3</v>
      </c>
      <c r="D127" s="305">
        <v>4</v>
      </c>
      <c r="E127" s="305">
        <v>5</v>
      </c>
      <c r="F127" s="305">
        <v>6</v>
      </c>
    </row>
    <row r="128" spans="1:11" ht="28.5" customHeight="1" thickBot="1">
      <c r="A128" s="301">
        <v>1</v>
      </c>
      <c r="B128" s="305" t="s">
        <v>344</v>
      </c>
      <c r="C128" s="305">
        <v>3</v>
      </c>
      <c r="D128" s="305">
        <v>12</v>
      </c>
      <c r="E128" s="6">
        <f>K128</f>
        <v>1070.2033333333334</v>
      </c>
      <c r="F128" s="6">
        <f>C128*D128*E128</f>
        <v>38527.32</v>
      </c>
      <c r="K128" s="1">
        <f>38527.32/D128/C128</f>
        <v>1070.2033333333334</v>
      </c>
    </row>
    <row r="129" spans="1:6" ht="19.5" hidden="1" thickBot="1">
      <c r="A129" s="301">
        <v>2</v>
      </c>
      <c r="B129" s="305" t="s">
        <v>345</v>
      </c>
      <c r="C129" s="305"/>
      <c r="D129" s="305">
        <v>1</v>
      </c>
      <c r="E129" s="6">
        <v>0</v>
      </c>
      <c r="F129" s="6">
        <f>E129</f>
        <v>0</v>
      </c>
    </row>
    <row r="130" spans="1:6" ht="27.75" customHeight="1" thickBot="1">
      <c r="A130" s="301"/>
      <c r="B130" s="303" t="s">
        <v>307</v>
      </c>
      <c r="C130" s="5" t="s">
        <v>313</v>
      </c>
      <c r="D130" s="5" t="s">
        <v>313</v>
      </c>
      <c r="E130" s="5" t="s">
        <v>313</v>
      </c>
      <c r="F130" s="7">
        <f>F128+F129</f>
        <v>38527.32</v>
      </c>
    </row>
    <row r="131" spans="1:6" ht="30" customHeight="1">
      <c r="A131" s="712" t="s">
        <v>402</v>
      </c>
      <c r="B131" s="712"/>
      <c r="C131" s="712"/>
      <c r="D131" s="712"/>
      <c r="E131" s="712"/>
      <c r="F131" s="712"/>
    </row>
    <row r="132" ht="15.75" thickBot="1"/>
    <row r="133" spans="1:5" ht="38.25" thickBot="1">
      <c r="A133" s="4" t="s">
        <v>292</v>
      </c>
      <c r="B133" s="296" t="s">
        <v>308</v>
      </c>
      <c r="C133" s="296" t="s">
        <v>346</v>
      </c>
      <c r="D133" s="296" t="s">
        <v>347</v>
      </c>
      <c r="E133" s="296" t="s">
        <v>348</v>
      </c>
    </row>
    <row r="134" spans="1:5" ht="19.5" thickBot="1">
      <c r="A134" s="301">
        <v>1</v>
      </c>
      <c r="B134" s="305">
        <v>2</v>
      </c>
      <c r="C134" s="305">
        <v>3</v>
      </c>
      <c r="D134" s="305">
        <v>4</v>
      </c>
      <c r="E134" s="305">
        <v>5</v>
      </c>
    </row>
    <row r="135" spans="1:11" ht="23.25" customHeight="1" thickBot="1">
      <c r="A135" s="301"/>
      <c r="B135" s="714" t="s">
        <v>441</v>
      </c>
      <c r="C135" s="715"/>
      <c r="D135" s="715"/>
      <c r="E135" s="716"/>
      <c r="K135" s="307"/>
    </row>
    <row r="136" spans="1:5" ht="28.5" customHeight="1" thickBot="1">
      <c r="A136" s="301">
        <v>1</v>
      </c>
      <c r="B136" s="305" t="s">
        <v>606</v>
      </c>
      <c r="C136" s="50"/>
      <c r="D136" s="50"/>
      <c r="E136" s="46">
        <v>200000</v>
      </c>
    </row>
    <row r="137" spans="1:5" ht="19.5" thickBot="1">
      <c r="A137" s="301"/>
      <c r="B137" s="64" t="s">
        <v>307</v>
      </c>
      <c r="C137" s="65">
        <f>C136</f>
        <v>0</v>
      </c>
      <c r="D137" s="65">
        <f>D136</f>
        <v>0</v>
      </c>
      <c r="E137" s="332">
        <f>E136</f>
        <v>200000</v>
      </c>
    </row>
    <row r="138" spans="1:6" ht="33" customHeight="1" thickBot="1">
      <c r="A138" s="712" t="s">
        <v>403</v>
      </c>
      <c r="B138" s="712"/>
      <c r="C138" s="712"/>
      <c r="D138" s="712"/>
      <c r="E138" s="712"/>
      <c r="F138" s="712"/>
    </row>
    <row r="139" spans="1:14" ht="42" customHeight="1" thickBot="1">
      <c r="A139" s="4" t="s">
        <v>292</v>
      </c>
      <c r="B139" s="296" t="s">
        <v>0</v>
      </c>
      <c r="C139" s="296" t="s">
        <v>349</v>
      </c>
      <c r="D139" s="296" t="s">
        <v>350</v>
      </c>
      <c r="E139" s="296" t="s">
        <v>351</v>
      </c>
      <c r="F139" s="296" t="s">
        <v>352</v>
      </c>
      <c r="G139" s="296" t="s">
        <v>353</v>
      </c>
      <c r="M139" s="333">
        <v>0</v>
      </c>
      <c r="N139" s="334">
        <v>0</v>
      </c>
    </row>
    <row r="140" spans="1:9" ht="19.5" thickBot="1">
      <c r="A140" s="301">
        <v>1</v>
      </c>
      <c r="B140" s="305">
        <v>2</v>
      </c>
      <c r="C140" s="305">
        <v>3</v>
      </c>
      <c r="D140" s="305">
        <v>4</v>
      </c>
      <c r="E140" s="305">
        <v>5</v>
      </c>
      <c r="F140" s="305">
        <v>6</v>
      </c>
      <c r="G140" s="305">
        <v>7</v>
      </c>
      <c r="H140" s="63"/>
      <c r="I140" s="63"/>
    </row>
    <row r="141" spans="1:15" ht="21.75" customHeight="1" thickBot="1">
      <c r="A141" s="301">
        <v>1</v>
      </c>
      <c r="B141" s="301" t="s">
        <v>354</v>
      </c>
      <c r="C141" s="50" t="s">
        <v>355</v>
      </c>
      <c r="D141" s="50">
        <v>577.98</v>
      </c>
      <c r="E141" s="50">
        <f>M141</f>
        <v>10119.915965950378</v>
      </c>
      <c r="F141" s="305"/>
      <c r="G141" s="46">
        <f>D141*E141</f>
        <v>5849109.03</v>
      </c>
      <c r="H141" s="63"/>
      <c r="I141" s="63"/>
      <c r="K141" s="335">
        <v>577.98</v>
      </c>
      <c r="L141" s="335">
        <v>5849.10903</v>
      </c>
      <c r="M141" s="12">
        <f>L141/K141*1000</f>
        <v>10119.915965950378</v>
      </c>
      <c r="N141" s="12"/>
      <c r="O141" s="86"/>
    </row>
    <row r="142" spans="1:15" ht="21.75" customHeight="1" thickBot="1">
      <c r="A142" s="301">
        <v>2</v>
      </c>
      <c r="B142" s="301" t="s">
        <v>356</v>
      </c>
      <c r="C142" s="50" t="s">
        <v>355</v>
      </c>
      <c r="D142" s="50">
        <v>151.7</v>
      </c>
      <c r="E142" s="50">
        <f aca="true" t="shared" si="1" ref="E142:E147">M142</f>
        <v>10816.970863546472</v>
      </c>
      <c r="F142" s="305"/>
      <c r="G142" s="46">
        <f aca="true" t="shared" si="2" ref="G142:G147">D142*E142</f>
        <v>1640934.4799999997</v>
      </c>
      <c r="H142" s="63"/>
      <c r="I142" s="63"/>
      <c r="K142" s="335">
        <v>151.7</v>
      </c>
      <c r="L142" s="335">
        <f>1592.02999+48.90449</f>
        <v>1640.93448</v>
      </c>
      <c r="M142" s="12">
        <f aca="true" t="shared" si="3" ref="M142:M147">L142/K142*1000</f>
        <v>10816.970863546472</v>
      </c>
      <c r="N142" s="12"/>
      <c r="O142" s="86"/>
    </row>
    <row r="143" spans="1:15" ht="21.75" customHeight="1" thickBot="1">
      <c r="A143" s="301">
        <v>3</v>
      </c>
      <c r="B143" s="301" t="s">
        <v>357</v>
      </c>
      <c r="C143" s="50" t="s">
        <v>358</v>
      </c>
      <c r="D143" s="50">
        <v>111954</v>
      </c>
      <c r="E143" s="50">
        <f>M143</f>
        <v>7.565590331743396</v>
      </c>
      <c r="F143" s="305"/>
      <c r="G143" s="46">
        <f t="shared" si="2"/>
        <v>846998.1000000001</v>
      </c>
      <c r="H143" s="63"/>
      <c r="I143" s="63"/>
      <c r="K143" s="335">
        <v>111.954</v>
      </c>
      <c r="L143" s="335">
        <v>846.9981</v>
      </c>
      <c r="M143" s="12">
        <f>L143/K143</f>
        <v>7.565590331743396</v>
      </c>
      <c r="N143" s="12"/>
      <c r="O143" s="86"/>
    </row>
    <row r="144" spans="1:15" ht="21.75" customHeight="1" thickBot="1">
      <c r="A144" s="301">
        <v>4</v>
      </c>
      <c r="B144" s="301" t="s">
        <v>359</v>
      </c>
      <c r="C144" s="50" t="s">
        <v>360</v>
      </c>
      <c r="D144" s="50">
        <v>1278</v>
      </c>
      <c r="E144" s="50">
        <f t="shared" si="1"/>
        <v>83.991220657277</v>
      </c>
      <c r="F144" s="305"/>
      <c r="G144" s="46">
        <f t="shared" si="2"/>
        <v>107340.78</v>
      </c>
      <c r="H144" s="63"/>
      <c r="I144" s="63"/>
      <c r="K144" s="335">
        <v>1278</v>
      </c>
      <c r="L144" s="335">
        <f>102.05992+5.28086</f>
        <v>107.34078000000001</v>
      </c>
      <c r="M144" s="12">
        <f t="shared" si="3"/>
        <v>83.991220657277</v>
      </c>
      <c r="N144" s="12"/>
      <c r="O144" s="86"/>
    </row>
    <row r="145" spans="1:15" ht="21.75" customHeight="1" thickBot="1">
      <c r="A145" s="301">
        <v>5</v>
      </c>
      <c r="B145" s="301" t="s">
        <v>361</v>
      </c>
      <c r="C145" s="50" t="s">
        <v>360</v>
      </c>
      <c r="D145" s="50">
        <v>1907.073</v>
      </c>
      <c r="E145" s="50">
        <f t="shared" si="1"/>
        <v>65.68381493524367</v>
      </c>
      <c r="F145" s="305"/>
      <c r="G145" s="46">
        <f t="shared" si="2"/>
        <v>125263.82999999997</v>
      </c>
      <c r="H145" s="63"/>
      <c r="I145" s="63"/>
      <c r="K145" s="336">
        <v>1907.0730000000003</v>
      </c>
      <c r="L145" s="335">
        <f>119.98299+5.28084</f>
        <v>125.26383</v>
      </c>
      <c r="M145" s="12">
        <f t="shared" si="3"/>
        <v>65.68381493524367</v>
      </c>
      <c r="N145" s="12"/>
      <c r="O145" s="86"/>
    </row>
    <row r="146" spans="1:15" ht="21.75" customHeight="1" thickBot="1">
      <c r="A146" s="301">
        <v>6</v>
      </c>
      <c r="B146" s="301" t="s">
        <v>362</v>
      </c>
      <c r="C146" s="50" t="s">
        <v>360</v>
      </c>
      <c r="D146" s="50">
        <v>629.075</v>
      </c>
      <c r="E146" s="50">
        <f t="shared" si="1"/>
        <v>82.36949489329571</v>
      </c>
      <c r="F146" s="305"/>
      <c r="G146" s="46">
        <f t="shared" si="2"/>
        <v>51816.590000000004</v>
      </c>
      <c r="H146" s="63"/>
      <c r="I146" s="63"/>
      <c r="K146" s="335">
        <v>629.075</v>
      </c>
      <c r="L146" s="335">
        <v>51.81659</v>
      </c>
      <c r="M146" s="12">
        <f t="shared" si="3"/>
        <v>82.36949489329571</v>
      </c>
      <c r="N146" s="12"/>
      <c r="O146" s="86"/>
    </row>
    <row r="147" spans="1:15" ht="21.75" customHeight="1" thickBot="1">
      <c r="A147" s="301">
        <v>7</v>
      </c>
      <c r="B147" s="305" t="s">
        <v>508</v>
      </c>
      <c r="C147" s="50" t="s">
        <v>517</v>
      </c>
      <c r="D147" s="50">
        <v>163.47500000000002</v>
      </c>
      <c r="E147" s="50">
        <f t="shared" si="1"/>
        <v>642.8773206912371</v>
      </c>
      <c r="F147" s="305"/>
      <c r="G147" s="46">
        <f t="shared" si="2"/>
        <v>105094.37</v>
      </c>
      <c r="H147" s="63"/>
      <c r="I147" s="63"/>
      <c r="K147" s="335">
        <v>163.47500000000002</v>
      </c>
      <c r="L147" s="335">
        <v>105.09437</v>
      </c>
      <c r="M147" s="12">
        <f t="shared" si="3"/>
        <v>642.8773206912371</v>
      </c>
      <c r="N147" s="12"/>
      <c r="O147" s="86"/>
    </row>
    <row r="148" spans="1:12" ht="22.5" customHeight="1" thickBot="1">
      <c r="A148" s="301"/>
      <c r="B148" s="303" t="s">
        <v>307</v>
      </c>
      <c r="C148" s="5" t="s">
        <v>313</v>
      </c>
      <c r="D148" s="5" t="s">
        <v>313</v>
      </c>
      <c r="E148" s="5" t="s">
        <v>313</v>
      </c>
      <c r="F148" s="5" t="s">
        <v>313</v>
      </c>
      <c r="G148" s="85">
        <f>G146+G145+G144+G143+G142+G141+G147</f>
        <v>8726557.18</v>
      </c>
      <c r="H148" s="66"/>
      <c r="K148" s="67">
        <f>273471.47+8467943.56-G148</f>
        <v>14857.85000000149</v>
      </c>
      <c r="L148" s="337">
        <v>8741.41503</v>
      </c>
    </row>
    <row r="149" spans="1:12" ht="18.75" thickBot="1">
      <c r="A149" s="729" t="s">
        <v>442</v>
      </c>
      <c r="B149" s="729"/>
      <c r="C149" s="729"/>
      <c r="D149" s="729"/>
      <c r="E149" s="729"/>
      <c r="F149" s="729"/>
      <c r="G149" s="729"/>
      <c r="H149" s="66"/>
      <c r="L149" s="1">
        <v>9562.92878</v>
      </c>
    </row>
    <row r="150" spans="1:15" ht="21.75" customHeight="1" thickBot="1">
      <c r="A150" s="4">
        <v>1</v>
      </c>
      <c r="B150" s="4" t="s">
        <v>354</v>
      </c>
      <c r="C150" s="194" t="s">
        <v>355</v>
      </c>
      <c r="D150" s="194"/>
      <c r="E150" s="194"/>
      <c r="F150" s="296"/>
      <c r="G150" s="193">
        <v>10287.58</v>
      </c>
      <c r="H150" s="63"/>
      <c r="I150" s="63"/>
      <c r="K150" s="335">
        <v>736.5</v>
      </c>
      <c r="L150" s="335">
        <v>7419.62255</v>
      </c>
      <c r="M150" s="12">
        <f>L150/K150*1000</f>
        <v>10074.165037338764</v>
      </c>
      <c r="N150" s="12"/>
      <c r="O150" s="86"/>
    </row>
    <row r="151" spans="1:15" ht="21.75" customHeight="1" thickBot="1">
      <c r="A151" s="301">
        <v>2</v>
      </c>
      <c r="B151" s="301" t="s">
        <v>357</v>
      </c>
      <c r="C151" s="50" t="s">
        <v>358</v>
      </c>
      <c r="D151" s="50"/>
      <c r="E151" s="50"/>
      <c r="F151" s="305"/>
      <c r="G151" s="46">
        <v>2627.69</v>
      </c>
      <c r="H151" s="63"/>
      <c r="I151" s="63"/>
      <c r="K151" s="335">
        <v>117.61</v>
      </c>
      <c r="L151" s="335">
        <v>886.16076</v>
      </c>
      <c r="M151" s="12">
        <f>L151/K151</f>
        <v>7.534739903069466</v>
      </c>
      <c r="N151" s="12"/>
      <c r="O151" s="86"/>
    </row>
    <row r="152" spans="1:12" ht="22.5" customHeight="1" thickBot="1">
      <c r="A152" s="301"/>
      <c r="B152" s="303" t="s">
        <v>307</v>
      </c>
      <c r="C152" s="5" t="s">
        <v>313</v>
      </c>
      <c r="D152" s="5" t="s">
        <v>313</v>
      </c>
      <c r="E152" s="5" t="s">
        <v>313</v>
      </c>
      <c r="F152" s="5" t="s">
        <v>313</v>
      </c>
      <c r="G152" s="85">
        <f>G151+G150</f>
        <v>12915.27</v>
      </c>
      <c r="H152" s="66"/>
      <c r="K152" s="67">
        <f>273471.47+8467943.56-G152</f>
        <v>8728499.760000002</v>
      </c>
      <c r="L152" s="337">
        <v>8741.41503</v>
      </c>
    </row>
    <row r="153" spans="1:12" ht="22.5" customHeight="1" thickBot="1">
      <c r="A153" s="301"/>
      <c r="B153" s="303" t="s">
        <v>633</v>
      </c>
      <c r="C153" s="5" t="s">
        <v>313</v>
      </c>
      <c r="D153" s="5" t="s">
        <v>313</v>
      </c>
      <c r="E153" s="5" t="s">
        <v>313</v>
      </c>
      <c r="F153" s="5" t="s">
        <v>313</v>
      </c>
      <c r="G153" s="85">
        <f>G152+G148</f>
        <v>8739472.45</v>
      </c>
      <c r="H153" s="66"/>
      <c r="K153" s="67">
        <f>273471.47+8467943.56-G153</f>
        <v>1942.5800000019372</v>
      </c>
      <c r="L153" s="337">
        <v>8741.41503</v>
      </c>
    </row>
    <row r="154" spans="1:12" ht="22.5" customHeight="1">
      <c r="A154" s="297"/>
      <c r="B154" s="82"/>
      <c r="C154" s="300"/>
      <c r="D154" s="300"/>
      <c r="E154" s="300"/>
      <c r="F154" s="300"/>
      <c r="G154" s="306"/>
      <c r="H154" s="66"/>
      <c r="K154" s="67"/>
      <c r="L154" s="338"/>
    </row>
    <row r="155" spans="1:6" ht="18.75">
      <c r="A155" s="712" t="s">
        <v>404</v>
      </c>
      <c r="B155" s="712"/>
      <c r="C155" s="712"/>
      <c r="D155" s="712"/>
      <c r="E155" s="712"/>
      <c r="F155" s="8"/>
    </row>
    <row r="156" ht="15.75" thickBot="1"/>
    <row r="157" spans="1:5" ht="38.25" thickBot="1">
      <c r="A157" s="4" t="s">
        <v>292</v>
      </c>
      <c r="B157" s="296" t="s">
        <v>0</v>
      </c>
      <c r="C157" s="296" t="s">
        <v>363</v>
      </c>
      <c r="D157" s="296" t="s">
        <v>364</v>
      </c>
      <c r="E157" s="296" t="s">
        <v>365</v>
      </c>
    </row>
    <row r="158" spans="1:5" ht="19.5" thickBot="1">
      <c r="A158" s="301">
        <v>1</v>
      </c>
      <c r="B158" s="305">
        <v>2</v>
      </c>
      <c r="C158" s="305">
        <v>3</v>
      </c>
      <c r="D158" s="305">
        <v>4</v>
      </c>
      <c r="E158" s="305">
        <v>5</v>
      </c>
    </row>
    <row r="159" spans="1:5" ht="19.5" thickBot="1">
      <c r="A159" s="301"/>
      <c r="B159" s="305"/>
      <c r="C159" s="305"/>
      <c r="D159" s="305"/>
      <c r="E159" s="305"/>
    </row>
    <row r="160" spans="1:5" ht="19.5" thickBot="1">
      <c r="A160" s="301"/>
      <c r="B160" s="68" t="s">
        <v>307</v>
      </c>
      <c r="C160" s="305" t="s">
        <v>313</v>
      </c>
      <c r="D160" s="305" t="s">
        <v>313</v>
      </c>
      <c r="E160" s="305">
        <f>E159</f>
        <v>0</v>
      </c>
    </row>
    <row r="161" ht="15"/>
    <row r="162" spans="1:12" ht="31.5" customHeight="1" thickBot="1">
      <c r="A162" s="719" t="s">
        <v>405</v>
      </c>
      <c r="B162" s="719"/>
      <c r="C162" s="719"/>
      <c r="D162" s="719"/>
      <c r="E162" s="719"/>
      <c r="L162" s="12" t="e">
        <f>L149-#REF!</f>
        <v>#REF!</v>
      </c>
    </row>
    <row r="163" spans="1:5" ht="48" customHeight="1" thickBot="1">
      <c r="A163" s="4" t="s">
        <v>292</v>
      </c>
      <c r="B163" s="296" t="s">
        <v>308</v>
      </c>
      <c r="C163" s="296" t="s">
        <v>366</v>
      </c>
      <c r="D163" s="296" t="s">
        <v>367</v>
      </c>
      <c r="E163" s="296" t="s">
        <v>368</v>
      </c>
    </row>
    <row r="164" spans="1:5" ht="19.5" thickBot="1">
      <c r="A164" s="301">
        <v>1</v>
      </c>
      <c r="B164" s="305">
        <v>2</v>
      </c>
      <c r="C164" s="305">
        <v>3</v>
      </c>
      <c r="D164" s="305">
        <v>4</v>
      </c>
      <c r="E164" s="305">
        <v>5</v>
      </c>
    </row>
    <row r="165" spans="1:5" ht="23.25" customHeight="1" thickBot="1">
      <c r="A165" s="714" t="s">
        <v>439</v>
      </c>
      <c r="B165" s="715"/>
      <c r="C165" s="715"/>
      <c r="D165" s="715"/>
      <c r="E165" s="716"/>
    </row>
    <row r="166" spans="1:5" ht="25.5" customHeight="1" thickBot="1">
      <c r="A166" s="301">
        <v>1</v>
      </c>
      <c r="B166" s="10" t="s">
        <v>369</v>
      </c>
      <c r="C166" s="305"/>
      <c r="D166" s="305">
        <v>12</v>
      </c>
      <c r="E166" s="6">
        <v>84000</v>
      </c>
    </row>
    <row r="167" spans="1:5" ht="26.25" customHeight="1" thickBot="1">
      <c r="A167" s="301">
        <v>2</v>
      </c>
      <c r="B167" s="10" t="s">
        <v>370</v>
      </c>
      <c r="C167" s="305"/>
      <c r="D167" s="305">
        <v>12</v>
      </c>
      <c r="E167" s="6">
        <v>68924.16</v>
      </c>
    </row>
    <row r="168" spans="1:5" ht="25.5" customHeight="1" thickBot="1">
      <c r="A168" s="301">
        <v>3</v>
      </c>
      <c r="B168" s="10" t="s">
        <v>548</v>
      </c>
      <c r="C168" s="305"/>
      <c r="D168" s="305">
        <v>12</v>
      </c>
      <c r="E168" s="6">
        <v>42313.68</v>
      </c>
    </row>
    <row r="169" spans="1:5" ht="25.5" customHeight="1" thickBot="1">
      <c r="A169" s="301">
        <v>4</v>
      </c>
      <c r="B169" s="10" t="s">
        <v>664</v>
      </c>
      <c r="C169" s="305"/>
      <c r="D169" s="305"/>
      <c r="E169" s="6">
        <v>90069</v>
      </c>
    </row>
    <row r="170" spans="1:5" ht="25.5" customHeight="1" thickBot="1">
      <c r="A170" s="301">
        <v>5</v>
      </c>
      <c r="B170" s="10" t="s">
        <v>371</v>
      </c>
      <c r="C170" s="305"/>
      <c r="D170" s="305">
        <v>12</v>
      </c>
      <c r="E170" s="6">
        <v>30000</v>
      </c>
    </row>
    <row r="171" spans="1:5" ht="25.5" customHeight="1" thickBot="1">
      <c r="A171" s="301">
        <v>6</v>
      </c>
      <c r="B171" s="10" t="s">
        <v>372</v>
      </c>
      <c r="C171" s="305"/>
      <c r="D171" s="305">
        <v>1</v>
      </c>
      <c r="E171" s="6">
        <v>322225</v>
      </c>
    </row>
    <row r="172" spans="1:5" ht="25.5" customHeight="1" thickBot="1">
      <c r="A172" s="301">
        <v>7</v>
      </c>
      <c r="B172" s="10" t="s">
        <v>373</v>
      </c>
      <c r="C172" s="305"/>
      <c r="D172" s="305">
        <v>4</v>
      </c>
      <c r="E172" s="6">
        <v>24000</v>
      </c>
    </row>
    <row r="173" spans="1:5" ht="38.25" thickBot="1">
      <c r="A173" s="301">
        <v>8</v>
      </c>
      <c r="B173" s="10" t="s">
        <v>575</v>
      </c>
      <c r="C173" s="305"/>
      <c r="D173" s="305"/>
      <c r="E173" s="6">
        <v>28000</v>
      </c>
    </row>
    <row r="174" spans="1:5" ht="25.5" customHeight="1" thickBot="1">
      <c r="A174" s="301">
        <v>9</v>
      </c>
      <c r="B174" s="10" t="s">
        <v>375</v>
      </c>
      <c r="C174" s="305"/>
      <c r="D174" s="305"/>
      <c r="E174" s="6">
        <v>57180</v>
      </c>
    </row>
    <row r="175" spans="1:5" ht="25.5" customHeight="1" thickBot="1">
      <c r="A175" s="301">
        <v>10</v>
      </c>
      <c r="B175" s="10" t="s">
        <v>574</v>
      </c>
      <c r="C175" s="305"/>
      <c r="D175" s="305"/>
      <c r="E175" s="6">
        <v>14000</v>
      </c>
    </row>
    <row r="176" spans="1:5" ht="25.5" customHeight="1" thickBot="1">
      <c r="A176" s="301">
        <v>11</v>
      </c>
      <c r="B176" s="10" t="s">
        <v>563</v>
      </c>
      <c r="C176" s="305"/>
      <c r="D176" s="305"/>
      <c r="E176" s="6">
        <f>57419.35+15000+120300</f>
        <v>192719.35</v>
      </c>
    </row>
    <row r="177" spans="1:5" ht="25.5" customHeight="1" thickBot="1">
      <c r="A177" s="301">
        <v>12</v>
      </c>
      <c r="B177" s="10" t="s">
        <v>564</v>
      </c>
      <c r="C177" s="305"/>
      <c r="D177" s="305"/>
      <c r="E177" s="6">
        <v>69607.2</v>
      </c>
    </row>
    <row r="178" spans="1:5" ht="25.5" customHeight="1" thickBot="1">
      <c r="A178" s="301">
        <v>13</v>
      </c>
      <c r="B178" s="10" t="s">
        <v>532</v>
      </c>
      <c r="C178" s="305"/>
      <c r="D178" s="305"/>
      <c r="E178" s="6">
        <v>55000</v>
      </c>
    </row>
    <row r="179" spans="1:5" ht="25.5" customHeight="1" thickBot="1">
      <c r="A179" s="301">
        <v>14</v>
      </c>
      <c r="B179" s="10" t="s">
        <v>376</v>
      </c>
      <c r="C179" s="305"/>
      <c r="D179" s="305">
        <v>1</v>
      </c>
      <c r="E179" s="6">
        <v>41809</v>
      </c>
    </row>
    <row r="180" spans="1:5" ht="25.5" customHeight="1" thickBot="1">
      <c r="A180" s="301">
        <v>15</v>
      </c>
      <c r="B180" s="10" t="s">
        <v>663</v>
      </c>
      <c r="C180" s="305"/>
      <c r="D180" s="305"/>
      <c r="E180" s="6">
        <v>55007.49</v>
      </c>
    </row>
    <row r="181" spans="1:5" ht="25.5" customHeight="1" thickBot="1">
      <c r="A181" s="301">
        <v>16</v>
      </c>
      <c r="B181" s="10" t="s">
        <v>533</v>
      </c>
      <c r="C181" s="305"/>
      <c r="D181" s="305"/>
      <c r="E181" s="6">
        <v>10000</v>
      </c>
    </row>
    <row r="182" spans="1:5" ht="25.5" customHeight="1" thickBot="1">
      <c r="A182" s="301">
        <v>17</v>
      </c>
      <c r="B182" s="10" t="s">
        <v>534</v>
      </c>
      <c r="C182" s="305"/>
      <c r="D182" s="305"/>
      <c r="E182" s="6">
        <v>25000</v>
      </c>
    </row>
    <row r="183" spans="1:5" ht="28.5" customHeight="1" thickBot="1">
      <c r="A183" s="301">
        <v>18</v>
      </c>
      <c r="B183" s="10" t="s">
        <v>499</v>
      </c>
      <c r="C183" s="305"/>
      <c r="D183" s="305"/>
      <c r="E183" s="6">
        <f>10000+25000+103721.22+161326.963138914+1389145.35-60220.84-5000-283100-69985.32-11200+58679.75-226075-50000-530543.33-36415.66+390139.91-15600+47290.15-154205.84-90069+0.07</f>
        <v>652888.4231389138</v>
      </c>
    </row>
    <row r="184" spans="1:5" ht="27.75" customHeight="1" thickBot="1">
      <c r="A184" s="301">
        <v>19</v>
      </c>
      <c r="B184" s="10" t="s">
        <v>644</v>
      </c>
      <c r="C184" s="305"/>
      <c r="D184" s="305"/>
      <c r="E184" s="6">
        <v>2600</v>
      </c>
    </row>
    <row r="185" spans="1:5" ht="27.75" customHeight="1" thickBot="1">
      <c r="A185" s="301">
        <v>20</v>
      </c>
      <c r="B185" s="10" t="s">
        <v>662</v>
      </c>
      <c r="C185" s="305"/>
      <c r="D185" s="305"/>
      <c r="E185" s="6">
        <v>0.07</v>
      </c>
    </row>
    <row r="186" spans="1:11" ht="30" customHeight="1" thickBot="1">
      <c r="A186" s="301"/>
      <c r="B186" s="303" t="s">
        <v>440</v>
      </c>
      <c r="C186" s="305"/>
      <c r="D186" s="305"/>
      <c r="E186" s="7">
        <f>SUM(E166:E185)</f>
        <v>1865343.3731389137</v>
      </c>
      <c r="F186" s="12"/>
      <c r="K186" s="12">
        <f>1865343.3+0.07-E186</f>
        <v>-0.0031389135401695967</v>
      </c>
    </row>
    <row r="187" spans="1:5" ht="23.25" customHeight="1" thickBot="1">
      <c r="A187" s="714" t="s">
        <v>441</v>
      </c>
      <c r="B187" s="715"/>
      <c r="C187" s="715"/>
      <c r="D187" s="715"/>
      <c r="E187" s="716"/>
    </row>
    <row r="188" spans="1:5" ht="25.5" customHeight="1" hidden="1" thickBot="1">
      <c r="A188" s="301">
        <v>1</v>
      </c>
      <c r="B188" s="10" t="s">
        <v>572</v>
      </c>
      <c r="C188" s="305"/>
      <c r="D188" s="305"/>
      <c r="E188" s="6"/>
    </row>
    <row r="189" spans="1:11" ht="40.5" customHeight="1" thickBot="1">
      <c r="A189" s="210">
        <v>1</v>
      </c>
      <c r="B189" s="10" t="s">
        <v>612</v>
      </c>
      <c r="C189" s="305"/>
      <c r="D189" s="305"/>
      <c r="E189" s="211">
        <f>328227.84+1312911.36-10549.52</f>
        <v>1630589.6800000002</v>
      </c>
      <c r="K189" s="1">
        <v>243</v>
      </c>
    </row>
    <row r="190" spans="1:11" ht="40.5" customHeight="1" thickBot="1">
      <c r="A190" s="210">
        <v>2</v>
      </c>
      <c r="B190" s="10" t="s">
        <v>613</v>
      </c>
      <c r="C190" s="305"/>
      <c r="D190" s="305"/>
      <c r="E190" s="211">
        <f>4310204.4-2498705.52-1811498.88+682005</f>
        <v>682005.0000000005</v>
      </c>
      <c r="F190" s="63"/>
      <c r="G190" s="63"/>
      <c r="K190" s="1">
        <v>243</v>
      </c>
    </row>
    <row r="191" spans="1:7" ht="19.5" hidden="1" thickBot="1">
      <c r="A191" s="210"/>
      <c r="B191" s="10"/>
      <c r="C191" s="305"/>
      <c r="D191" s="305"/>
      <c r="E191" s="211"/>
      <c r="F191" s="63"/>
      <c r="G191" s="63"/>
    </row>
    <row r="192" spans="1:7" ht="23.25" customHeight="1" thickBot="1">
      <c r="A192" s="301"/>
      <c r="B192" s="303" t="s">
        <v>440</v>
      </c>
      <c r="C192" s="305"/>
      <c r="D192" s="305"/>
      <c r="E192" s="7">
        <f>E190+E188+E189+E191</f>
        <v>2312594.6800000006</v>
      </c>
      <c r="F192" s="339">
        <f>E189+E190+E247+E267</f>
        <v>12097677.16</v>
      </c>
      <c r="G192" s="63"/>
    </row>
    <row r="193" spans="1:7" ht="23.25" customHeight="1" thickBot="1">
      <c r="A193" s="714" t="s">
        <v>442</v>
      </c>
      <c r="B193" s="715"/>
      <c r="C193" s="715"/>
      <c r="D193" s="715"/>
      <c r="E193" s="716"/>
      <c r="F193" s="63"/>
      <c r="G193" s="63"/>
    </row>
    <row r="194" spans="1:7" ht="23.25" customHeight="1" thickBot="1">
      <c r="A194" s="301">
        <v>1</v>
      </c>
      <c r="B194" s="10"/>
      <c r="C194" s="305"/>
      <c r="D194" s="305"/>
      <c r="E194" s="6">
        <v>0</v>
      </c>
      <c r="F194" s="63"/>
      <c r="G194" s="63"/>
    </row>
    <row r="195" spans="1:5" ht="23.25" customHeight="1" hidden="1" thickBot="1">
      <c r="A195" s="301">
        <v>2</v>
      </c>
      <c r="B195" s="10"/>
      <c r="C195" s="305"/>
      <c r="D195" s="305"/>
      <c r="E195" s="6"/>
    </row>
    <row r="196" spans="1:7" ht="23.25" customHeight="1" hidden="1" thickBot="1">
      <c r="A196" s="301">
        <v>2</v>
      </c>
      <c r="B196" s="10"/>
      <c r="C196" s="305"/>
      <c r="D196" s="305"/>
      <c r="E196" s="6">
        <v>0</v>
      </c>
      <c r="F196" s="63"/>
      <c r="G196" s="63"/>
    </row>
    <row r="197" spans="1:5" ht="23.25" customHeight="1" thickBot="1">
      <c r="A197" s="301"/>
      <c r="B197" s="303" t="s">
        <v>440</v>
      </c>
      <c r="C197" s="305"/>
      <c r="D197" s="305"/>
      <c r="E197" s="7">
        <f>E195+E194+E196</f>
        <v>0</v>
      </c>
    </row>
    <row r="198" spans="1:13" ht="24" customHeight="1" thickBot="1">
      <c r="A198" s="301"/>
      <c r="B198" s="303" t="s">
        <v>443</v>
      </c>
      <c r="C198" s="5" t="s">
        <v>313</v>
      </c>
      <c r="D198" s="5" t="s">
        <v>313</v>
      </c>
      <c r="E198" s="7">
        <f>E197+E192+E186</f>
        <v>4177938.0531389145</v>
      </c>
      <c r="F198" s="30"/>
      <c r="L198" s="12"/>
      <c r="M198" s="30"/>
    </row>
    <row r="199" spans="1:14" ht="28.5" customHeight="1" thickBot="1">
      <c r="A199" s="719" t="s">
        <v>406</v>
      </c>
      <c r="B199" s="719"/>
      <c r="C199" s="719"/>
      <c r="D199" s="719"/>
      <c r="E199" s="719"/>
      <c r="L199" s="12"/>
      <c r="M199" s="12"/>
      <c r="N199" s="12"/>
    </row>
    <row r="200" spans="1:4" ht="43.5" customHeight="1" thickBot="1">
      <c r="A200" s="4" t="s">
        <v>292</v>
      </c>
      <c r="B200" s="296" t="s">
        <v>308</v>
      </c>
      <c r="C200" s="296" t="s">
        <v>377</v>
      </c>
      <c r="D200" s="296" t="s">
        <v>378</v>
      </c>
    </row>
    <row r="201" spans="1:4" ht="19.5" thickBot="1">
      <c r="A201" s="301">
        <v>1</v>
      </c>
      <c r="B201" s="305">
        <v>2</v>
      </c>
      <c r="C201" s="305">
        <v>3</v>
      </c>
      <c r="D201" s="305">
        <v>4</v>
      </c>
    </row>
    <row r="202" spans="1:4" ht="21.75" customHeight="1" thickBot="1">
      <c r="A202" s="714" t="s">
        <v>439</v>
      </c>
      <c r="B202" s="715"/>
      <c r="C202" s="715"/>
      <c r="D202" s="716"/>
    </row>
    <row r="203" spans="1:4" s="342" customFormat="1" ht="22.5" customHeight="1" thickBot="1">
      <c r="A203" s="4">
        <v>1</v>
      </c>
      <c r="B203" s="340" t="s">
        <v>573</v>
      </c>
      <c r="C203" s="4"/>
      <c r="D203" s="341">
        <v>120698.4</v>
      </c>
    </row>
    <row r="204" spans="1:4" ht="24.75" customHeight="1" thickBot="1">
      <c r="A204" s="301">
        <v>2</v>
      </c>
      <c r="B204" s="10" t="s">
        <v>379</v>
      </c>
      <c r="C204" s="305"/>
      <c r="D204" s="6">
        <v>240000</v>
      </c>
    </row>
    <row r="205" spans="1:4" ht="24.75" customHeight="1" thickBot="1">
      <c r="A205" s="4">
        <v>3</v>
      </c>
      <c r="B205" s="10" t="s">
        <v>380</v>
      </c>
      <c r="C205" s="305"/>
      <c r="D205" s="6">
        <f>239367.66-19507.6</f>
        <v>219860.06</v>
      </c>
    </row>
    <row r="206" spans="1:4" ht="24.75" customHeight="1" thickBot="1">
      <c r="A206" s="301">
        <v>4</v>
      </c>
      <c r="B206" s="10" t="s">
        <v>381</v>
      </c>
      <c r="C206" s="305"/>
      <c r="D206" s="6">
        <f>120000-92646.4-16955.27+65220.84+76105.32-150000+5075.93+2500</f>
        <v>9300.419999999991</v>
      </c>
    </row>
    <row r="207" spans="1:4" ht="24.75" customHeight="1" thickBot="1">
      <c r="A207" s="4">
        <v>5</v>
      </c>
      <c r="B207" s="10" t="s">
        <v>566</v>
      </c>
      <c r="C207" s="305"/>
      <c r="D207" s="6">
        <v>15000</v>
      </c>
    </row>
    <row r="208" spans="1:4" ht="24.75" customHeight="1" thickBot="1">
      <c r="A208" s="301">
        <v>6</v>
      </c>
      <c r="B208" s="10" t="s">
        <v>500</v>
      </c>
      <c r="C208" s="305"/>
      <c r="D208" s="6">
        <v>94048.12</v>
      </c>
    </row>
    <row r="209" spans="1:4" ht="24.75" customHeight="1" thickBot="1">
      <c r="A209" s="4">
        <v>7</v>
      </c>
      <c r="B209" s="10" t="s">
        <v>546</v>
      </c>
      <c r="C209" s="305"/>
      <c r="D209" s="6">
        <v>77448</v>
      </c>
    </row>
    <row r="210" spans="1:4" ht="24.75" customHeight="1" thickBot="1">
      <c r="A210" s="301">
        <v>8</v>
      </c>
      <c r="B210" s="10" t="s">
        <v>550</v>
      </c>
      <c r="C210" s="305"/>
      <c r="D210" s="6">
        <v>10000</v>
      </c>
    </row>
    <row r="211" spans="1:4" ht="24.75" customHeight="1" thickBot="1">
      <c r="A211" s="4">
        <v>9</v>
      </c>
      <c r="B211" s="10" t="s">
        <v>562</v>
      </c>
      <c r="C211" s="305"/>
      <c r="D211" s="6">
        <f>1399008-369468</f>
        <v>1029540</v>
      </c>
    </row>
    <row r="212" spans="1:4" ht="24.75" customHeight="1" hidden="1" thickBot="1">
      <c r="A212" s="301">
        <v>10</v>
      </c>
      <c r="B212" s="10" t="s">
        <v>501</v>
      </c>
      <c r="C212" s="305"/>
      <c r="D212" s="6">
        <v>0</v>
      </c>
    </row>
    <row r="213" spans="1:4" ht="24.75" customHeight="1" thickBot="1">
      <c r="A213" s="4">
        <v>11</v>
      </c>
      <c r="B213" s="10" t="s">
        <v>645</v>
      </c>
      <c r="C213" s="305"/>
      <c r="D213" s="6">
        <v>459351.17</v>
      </c>
    </row>
    <row r="214" spans="1:4" ht="24.75" customHeight="1" thickBot="1">
      <c r="A214" s="301">
        <v>12</v>
      </c>
      <c r="B214" s="10" t="s">
        <v>636</v>
      </c>
      <c r="C214" s="305"/>
      <c r="D214" s="6">
        <v>913281.79</v>
      </c>
    </row>
    <row r="215" spans="1:4" ht="24.75" customHeight="1" thickBot="1">
      <c r="A215" s="4">
        <v>13</v>
      </c>
      <c r="B215" s="10" t="s">
        <v>629</v>
      </c>
      <c r="C215" s="305"/>
      <c r="D215" s="6">
        <v>3391</v>
      </c>
    </row>
    <row r="216" spans="1:4" ht="24.75" customHeight="1" thickBot="1">
      <c r="A216" s="301">
        <v>14</v>
      </c>
      <c r="B216" s="10" t="s">
        <v>630</v>
      </c>
      <c r="C216" s="305"/>
      <c r="D216" s="6">
        <v>19900</v>
      </c>
    </row>
    <row r="217" spans="1:4" ht="24.75" customHeight="1" thickBot="1">
      <c r="A217" s="4">
        <v>15</v>
      </c>
      <c r="B217" s="10" t="s">
        <v>631</v>
      </c>
      <c r="C217" s="305"/>
      <c r="D217" s="6">
        <v>60000</v>
      </c>
    </row>
    <row r="218" spans="1:4" ht="24.75" customHeight="1" thickBot="1">
      <c r="A218" s="301">
        <v>16</v>
      </c>
      <c r="B218" s="10" t="s">
        <v>665</v>
      </c>
      <c r="C218" s="305"/>
      <c r="D218" s="6">
        <v>58245</v>
      </c>
    </row>
    <row r="219" spans="1:4" ht="24.75" customHeight="1" hidden="1" thickBot="1">
      <c r="A219" s="4">
        <v>17</v>
      </c>
      <c r="B219" s="10" t="s">
        <v>501</v>
      </c>
      <c r="C219" s="305"/>
      <c r="D219" s="6">
        <v>0</v>
      </c>
    </row>
    <row r="220" spans="1:4" ht="24.75" customHeight="1" thickBot="1">
      <c r="A220" s="301">
        <v>18</v>
      </c>
      <c r="B220" s="10" t="s">
        <v>666</v>
      </c>
      <c r="C220" s="305"/>
      <c r="D220" s="6">
        <v>32434.45</v>
      </c>
    </row>
    <row r="221" spans="1:11" ht="26.25" customHeight="1" thickBot="1">
      <c r="A221" s="301"/>
      <c r="B221" s="303" t="s">
        <v>307</v>
      </c>
      <c r="C221" s="5" t="s">
        <v>313</v>
      </c>
      <c r="D221" s="7">
        <f>SUM(D203:D220)</f>
        <v>3362498.41</v>
      </c>
      <c r="K221" s="12">
        <f>3362498.41-D221</f>
        <v>0</v>
      </c>
    </row>
    <row r="222" spans="1:11" ht="26.25" customHeight="1" thickBot="1">
      <c r="A222" s="714" t="s">
        <v>441</v>
      </c>
      <c r="B222" s="715"/>
      <c r="C222" s="715"/>
      <c r="D222" s="716"/>
      <c r="K222" s="12"/>
    </row>
    <row r="223" spans="1:4" ht="59.25" customHeight="1" thickBot="1">
      <c r="A223" s="210">
        <v>1</v>
      </c>
      <c r="B223" s="212" t="s">
        <v>623</v>
      </c>
      <c r="C223" s="213"/>
      <c r="D223" s="211">
        <v>48850</v>
      </c>
    </row>
    <row r="224" spans="1:4" ht="26.25" customHeight="1" hidden="1" thickBot="1">
      <c r="A224" s="210">
        <v>2</v>
      </c>
      <c r="B224" s="212" t="s">
        <v>650</v>
      </c>
      <c r="C224" s="213"/>
      <c r="D224" s="211">
        <v>0</v>
      </c>
    </row>
    <row r="225" spans="1:4" ht="26.25" customHeight="1" thickBot="1">
      <c r="A225" s="301"/>
      <c r="B225" s="303" t="s">
        <v>307</v>
      </c>
      <c r="C225" s="5" t="s">
        <v>313</v>
      </c>
      <c r="D225" s="7">
        <f>D223+D224</f>
        <v>48850</v>
      </c>
    </row>
    <row r="226" spans="1:4" ht="26.25" customHeight="1" thickBot="1">
      <c r="A226" s="714" t="s">
        <v>442</v>
      </c>
      <c r="B226" s="715"/>
      <c r="C226" s="715"/>
      <c r="D226" s="716"/>
    </row>
    <row r="227" spans="1:4" ht="26.25" customHeight="1" thickBot="1">
      <c r="A227" s="301">
        <v>1</v>
      </c>
      <c r="B227" s="10" t="s">
        <v>635</v>
      </c>
      <c r="C227" s="5"/>
      <c r="D227" s="6">
        <f>220225.9</f>
        <v>220225.9</v>
      </c>
    </row>
    <row r="228" spans="1:4" ht="26.25" customHeight="1" thickBot="1">
      <c r="A228" s="301"/>
      <c r="B228" s="303" t="s">
        <v>307</v>
      </c>
      <c r="C228" s="5" t="s">
        <v>313</v>
      </c>
      <c r="D228" s="7">
        <f>D227</f>
        <v>220225.9</v>
      </c>
    </row>
    <row r="229" spans="1:14" ht="29.25" customHeight="1" thickBot="1">
      <c r="A229" s="301"/>
      <c r="B229" s="303" t="s">
        <v>444</v>
      </c>
      <c r="C229" s="5" t="s">
        <v>313</v>
      </c>
      <c r="D229" s="7">
        <f>D228+D225+D221</f>
        <v>3631574.31</v>
      </c>
      <c r="E229" s="30"/>
      <c r="L229" s="12"/>
      <c r="M229" s="12"/>
      <c r="N229" s="12"/>
    </row>
    <row r="230" spans="1:14" ht="15">
      <c r="A230" s="48"/>
      <c r="B230" s="48"/>
      <c r="C230" s="48"/>
      <c r="D230" s="48"/>
      <c r="E230" s="48"/>
      <c r="F230" s="48"/>
      <c r="G230" s="48"/>
      <c r="H230" s="48"/>
      <c r="I230" s="48"/>
      <c r="J230" s="48"/>
      <c r="K230" s="48"/>
      <c r="L230" s="48"/>
      <c r="M230" s="48"/>
      <c r="N230" s="48"/>
    </row>
    <row r="231" spans="1:5" ht="18.75" hidden="1">
      <c r="A231" s="719" t="s">
        <v>382</v>
      </c>
      <c r="B231" s="719"/>
      <c r="C231" s="719"/>
      <c r="D231" s="719"/>
      <c r="E231" s="719"/>
    </row>
    <row r="232" ht="18.75" hidden="1">
      <c r="A232" s="69"/>
    </row>
    <row r="233" spans="1:4" ht="38.25" hidden="1" thickBot="1">
      <c r="A233" s="4" t="s">
        <v>292</v>
      </c>
      <c r="B233" s="296" t="s">
        <v>308</v>
      </c>
      <c r="C233" s="296" t="s">
        <v>377</v>
      </c>
      <c r="D233" s="296" t="s">
        <v>378</v>
      </c>
    </row>
    <row r="234" spans="1:4" ht="19.5" hidden="1" thickBot="1">
      <c r="A234" s="301">
        <v>1</v>
      </c>
      <c r="B234" s="305">
        <v>2</v>
      </c>
      <c r="C234" s="305">
        <v>3</v>
      </c>
      <c r="D234" s="305">
        <v>4</v>
      </c>
    </row>
    <row r="235" spans="1:4" ht="19.5" hidden="1" thickBot="1">
      <c r="A235" s="301">
        <v>1</v>
      </c>
      <c r="B235" s="10" t="s">
        <v>383</v>
      </c>
      <c r="C235" s="305">
        <v>1</v>
      </c>
      <c r="D235" s="6">
        <v>0</v>
      </c>
    </row>
    <row r="236" spans="1:5" ht="19.5" hidden="1" thickBot="1">
      <c r="A236" s="301"/>
      <c r="B236" s="303" t="s">
        <v>307</v>
      </c>
      <c r="C236" s="5" t="s">
        <v>313</v>
      </c>
      <c r="D236" s="7">
        <f>SUM(D235:D235)</f>
        <v>0</v>
      </c>
      <c r="E236" s="30"/>
    </row>
    <row r="237" spans="1:6" ht="21.75" customHeight="1" thickBot="1">
      <c r="A237" s="719" t="s">
        <v>407</v>
      </c>
      <c r="B237" s="719"/>
      <c r="C237" s="719"/>
      <c r="D237" s="719"/>
      <c r="E237" s="719"/>
      <c r="F237" s="719"/>
    </row>
    <row r="238" spans="1:5" ht="42" customHeight="1" thickBot="1">
      <c r="A238" s="4" t="s">
        <v>292</v>
      </c>
      <c r="B238" s="296" t="s">
        <v>308</v>
      </c>
      <c r="C238" s="296" t="s">
        <v>363</v>
      </c>
      <c r="D238" s="296" t="s">
        <v>384</v>
      </c>
      <c r="E238" s="296" t="s">
        <v>385</v>
      </c>
    </row>
    <row r="239" spans="1:5" ht="19.5" thickBot="1">
      <c r="A239" s="301"/>
      <c r="B239" s="305">
        <v>1</v>
      </c>
      <c r="C239" s="305">
        <v>2</v>
      </c>
      <c r="D239" s="305">
        <v>3</v>
      </c>
      <c r="E239" s="305">
        <v>4</v>
      </c>
    </row>
    <row r="240" spans="1:5" ht="54.75" customHeight="1" hidden="1" thickBot="1">
      <c r="A240" s="301">
        <v>1</v>
      </c>
      <c r="B240" s="10" t="s">
        <v>386</v>
      </c>
      <c r="C240" s="305"/>
      <c r="D240" s="6"/>
      <c r="E240" s="6">
        <f>D240</f>
        <v>0</v>
      </c>
    </row>
    <row r="241" spans="1:5" ht="24.75" customHeight="1" thickBot="1">
      <c r="A241" s="714" t="s">
        <v>439</v>
      </c>
      <c r="B241" s="715"/>
      <c r="C241" s="715"/>
      <c r="D241" s="715"/>
      <c r="E241" s="716"/>
    </row>
    <row r="242" spans="1:5" ht="36" customHeight="1" thickBot="1">
      <c r="A242" s="301">
        <v>1</v>
      </c>
      <c r="B242" s="10" t="s">
        <v>386</v>
      </c>
      <c r="C242" s="305"/>
      <c r="D242" s="6">
        <f>E242</f>
        <v>1340745.34</v>
      </c>
      <c r="E242" s="6">
        <v>1340745.34</v>
      </c>
    </row>
    <row r="243" spans="1:5" ht="45" customHeight="1" thickBot="1">
      <c r="A243" s="301">
        <v>2</v>
      </c>
      <c r="B243" s="10" t="s">
        <v>643</v>
      </c>
      <c r="C243" s="305"/>
      <c r="D243" s="6">
        <f>E243</f>
        <v>2069684.33</v>
      </c>
      <c r="E243" s="6">
        <f>2069684.33</f>
        <v>2069684.33</v>
      </c>
    </row>
    <row r="244" spans="1:5" ht="48" customHeight="1" thickBot="1">
      <c r="A244" s="301">
        <v>3</v>
      </c>
      <c r="B244" s="10" t="s">
        <v>642</v>
      </c>
      <c r="C244" s="305"/>
      <c r="D244" s="6">
        <f>E244</f>
        <v>59423.4</v>
      </c>
      <c r="E244" s="6">
        <v>59423.4</v>
      </c>
    </row>
    <row r="245" spans="1:11" ht="29.25" customHeight="1" thickBot="1">
      <c r="A245" s="301"/>
      <c r="B245" s="303" t="s">
        <v>445</v>
      </c>
      <c r="C245" s="5"/>
      <c r="D245" s="7"/>
      <c r="E245" s="7">
        <f>E244+E243+E242</f>
        <v>3469853.0700000003</v>
      </c>
      <c r="K245" s="12">
        <f>3469853.07-E245</f>
        <v>0</v>
      </c>
    </row>
    <row r="246" spans="1:5" ht="25.5" customHeight="1" thickBot="1">
      <c r="A246" s="714" t="s">
        <v>441</v>
      </c>
      <c r="B246" s="715"/>
      <c r="C246" s="715"/>
      <c r="D246" s="715"/>
      <c r="E246" s="716"/>
    </row>
    <row r="247" spans="1:5" ht="30.75" customHeight="1" thickBot="1">
      <c r="A247" s="301">
        <v>1</v>
      </c>
      <c r="B247" s="10" t="s">
        <v>637</v>
      </c>
      <c r="C247" s="5"/>
      <c r="D247" s="6">
        <f>E247</f>
        <v>1528669.33</v>
      </c>
      <c r="E247" s="6">
        <f>1528669.33</f>
        <v>1528669.33</v>
      </c>
    </row>
    <row r="248" spans="1:5" ht="27" customHeight="1" thickBot="1">
      <c r="A248" s="301"/>
      <c r="B248" s="303" t="s">
        <v>445</v>
      </c>
      <c r="C248" s="5"/>
      <c r="D248" s="7"/>
      <c r="E248" s="7">
        <f>E247</f>
        <v>1528669.33</v>
      </c>
    </row>
    <row r="249" spans="1:5" ht="27.75" customHeight="1" thickBot="1">
      <c r="A249" s="714" t="s">
        <v>442</v>
      </c>
      <c r="B249" s="715"/>
      <c r="C249" s="715"/>
      <c r="D249" s="715"/>
      <c r="E249" s="716"/>
    </row>
    <row r="250" spans="1:5" ht="29.25" customHeight="1" thickBot="1">
      <c r="A250" s="301">
        <v>1</v>
      </c>
      <c r="B250" s="10"/>
      <c r="C250" s="5"/>
      <c r="D250" s="6">
        <f>E250</f>
        <v>0</v>
      </c>
      <c r="E250" s="6">
        <v>0</v>
      </c>
    </row>
    <row r="251" spans="1:11" ht="31.5" customHeight="1" thickBot="1">
      <c r="A251" s="301"/>
      <c r="B251" s="303" t="s">
        <v>445</v>
      </c>
      <c r="C251" s="5"/>
      <c r="D251" s="7"/>
      <c r="E251" s="7">
        <f>E250</f>
        <v>0</v>
      </c>
      <c r="K251" s="12">
        <f>264536.27-18168.27-E251</f>
        <v>246368.00000000003</v>
      </c>
    </row>
    <row r="252" spans="1:5" ht="24.75" customHeight="1" thickBot="1">
      <c r="A252" s="11"/>
      <c r="B252" s="303" t="s">
        <v>446</v>
      </c>
      <c r="C252" s="5"/>
      <c r="D252" s="7"/>
      <c r="E252" s="7">
        <f>E251+E248+E245</f>
        <v>4998522.4</v>
      </c>
    </row>
    <row r="253" spans="1:5" ht="24.75" customHeight="1" thickBot="1">
      <c r="A253" s="714" t="s">
        <v>439</v>
      </c>
      <c r="B253" s="715"/>
      <c r="C253" s="715"/>
      <c r="D253" s="715"/>
      <c r="E253" s="716"/>
    </row>
    <row r="254" spans="1:12" ht="37.5" customHeight="1" thickBot="1">
      <c r="A254" s="301">
        <v>1</v>
      </c>
      <c r="B254" s="10" t="s">
        <v>387</v>
      </c>
      <c r="C254" s="305"/>
      <c r="D254" s="6">
        <f>E254</f>
        <v>779482</v>
      </c>
      <c r="E254" s="6">
        <f>570022+209460</f>
        <v>779482</v>
      </c>
      <c r="K254" s="299">
        <v>346</v>
      </c>
      <c r="L254" s="12">
        <f>1093915.34-E254-E261</f>
        <v>0</v>
      </c>
    </row>
    <row r="255" spans="1:11" ht="63" customHeight="1" thickBot="1">
      <c r="A255" s="301">
        <v>2</v>
      </c>
      <c r="B255" s="10" t="s">
        <v>569</v>
      </c>
      <c r="C255" s="305"/>
      <c r="D255" s="6">
        <f aca="true" t="shared" si="4" ref="D255:D264">E255</f>
        <v>121275</v>
      </c>
      <c r="E255" s="6">
        <f>53200+68075</f>
        <v>121275</v>
      </c>
      <c r="K255" s="299">
        <v>341</v>
      </c>
    </row>
    <row r="256" spans="1:11" ht="50.25" customHeight="1" thickBot="1">
      <c r="A256" s="301">
        <v>3</v>
      </c>
      <c r="B256" s="10" t="s">
        <v>518</v>
      </c>
      <c r="C256" s="305"/>
      <c r="D256" s="6">
        <f t="shared" si="4"/>
        <v>59621.9</v>
      </c>
      <c r="E256" s="6">
        <v>59621.9</v>
      </c>
      <c r="K256" s="299">
        <v>344</v>
      </c>
    </row>
    <row r="257" spans="1:11" ht="50.25" customHeight="1" hidden="1" thickBot="1">
      <c r="A257" s="301">
        <v>4</v>
      </c>
      <c r="B257" s="10" t="s">
        <v>486</v>
      </c>
      <c r="C257" s="305"/>
      <c r="D257" s="6">
        <f t="shared" si="4"/>
        <v>0</v>
      </c>
      <c r="E257" s="6"/>
      <c r="K257" s="299">
        <v>349</v>
      </c>
    </row>
    <row r="258" spans="1:11" ht="29.25" customHeight="1" thickBot="1">
      <c r="A258" s="301">
        <v>4</v>
      </c>
      <c r="B258" s="10" t="s">
        <v>388</v>
      </c>
      <c r="C258" s="305"/>
      <c r="D258" s="6">
        <f t="shared" si="4"/>
        <v>292965.23</v>
      </c>
      <c r="E258" s="6">
        <v>292965.23</v>
      </c>
      <c r="K258" s="299">
        <v>342</v>
      </c>
    </row>
    <row r="259" spans="1:11" ht="38.25" thickBot="1">
      <c r="A259" s="301">
        <v>5</v>
      </c>
      <c r="B259" s="10" t="s">
        <v>577</v>
      </c>
      <c r="C259" s="305"/>
      <c r="D259" s="6">
        <f>E259</f>
        <v>1707.5</v>
      </c>
      <c r="E259" s="6">
        <v>1707.5</v>
      </c>
      <c r="K259" s="299">
        <v>343</v>
      </c>
    </row>
    <row r="260" spans="1:11" ht="42.75" customHeight="1" hidden="1" thickBot="1">
      <c r="A260" s="301">
        <v>6</v>
      </c>
      <c r="B260" s="10" t="s">
        <v>535</v>
      </c>
      <c r="C260" s="305"/>
      <c r="D260" s="6">
        <f t="shared" si="4"/>
        <v>0</v>
      </c>
      <c r="E260" s="6">
        <v>0</v>
      </c>
      <c r="K260" s="299">
        <v>345</v>
      </c>
    </row>
    <row r="261" spans="1:11" ht="49.5" customHeight="1" thickBot="1">
      <c r="A261" s="301">
        <v>6</v>
      </c>
      <c r="B261" s="10" t="s">
        <v>641</v>
      </c>
      <c r="C261" s="305"/>
      <c r="D261" s="6">
        <f t="shared" si="4"/>
        <v>314433.34</v>
      </c>
      <c r="E261" s="6">
        <v>314433.34</v>
      </c>
      <c r="K261" s="299">
        <v>346</v>
      </c>
    </row>
    <row r="262" spans="1:11" ht="49.5" customHeight="1" hidden="1" thickBot="1">
      <c r="A262" s="301">
        <v>8</v>
      </c>
      <c r="B262" s="10" t="s">
        <v>553</v>
      </c>
      <c r="C262" s="305"/>
      <c r="D262" s="6">
        <f t="shared" si="4"/>
        <v>0</v>
      </c>
      <c r="E262" s="6"/>
      <c r="K262" s="299">
        <v>346</v>
      </c>
    </row>
    <row r="263" spans="1:11" ht="49.5" customHeight="1" thickBot="1">
      <c r="A263" s="301">
        <v>7</v>
      </c>
      <c r="B263" s="10" t="s">
        <v>640</v>
      </c>
      <c r="C263" s="305"/>
      <c r="D263" s="6">
        <f t="shared" si="4"/>
        <v>16690.32</v>
      </c>
      <c r="E263" s="6">
        <v>16690.32</v>
      </c>
      <c r="K263" s="299">
        <v>349</v>
      </c>
    </row>
    <row r="264" spans="1:12" ht="42" customHeight="1" hidden="1" thickBot="1">
      <c r="A264" s="301">
        <v>10</v>
      </c>
      <c r="B264" s="10" t="s">
        <v>578</v>
      </c>
      <c r="C264" s="305"/>
      <c r="D264" s="6">
        <f t="shared" si="4"/>
        <v>0</v>
      </c>
      <c r="E264" s="6"/>
      <c r="K264" s="299">
        <v>349</v>
      </c>
      <c r="L264" s="12">
        <f>E254+E261</f>
        <v>1093915.34</v>
      </c>
    </row>
    <row r="265" spans="1:11" ht="39" customHeight="1" thickBot="1">
      <c r="A265" s="301"/>
      <c r="B265" s="303" t="s">
        <v>445</v>
      </c>
      <c r="C265" s="5"/>
      <c r="D265" s="7"/>
      <c r="E265" s="7">
        <f>E254+E258+E255+E256+E263+E257+E260+E261+E262+E264+E259</f>
        <v>1586175.29</v>
      </c>
      <c r="K265" s="12"/>
    </row>
    <row r="266" spans="1:5" ht="28.5" customHeight="1" thickBot="1">
      <c r="A266" s="714" t="s">
        <v>441</v>
      </c>
      <c r="B266" s="715"/>
      <c r="C266" s="715"/>
      <c r="D266" s="715"/>
      <c r="E266" s="716"/>
    </row>
    <row r="267" spans="1:11" ht="33.75" customHeight="1" thickBot="1">
      <c r="A267" s="301">
        <v>1</v>
      </c>
      <c r="B267" s="10" t="s">
        <v>571</v>
      </c>
      <c r="C267" s="305"/>
      <c r="D267" s="6">
        <f>E267</f>
        <v>8256413.15</v>
      </c>
      <c r="E267" s="6">
        <f>8303039.15-E91</f>
        <v>8256413.15</v>
      </c>
      <c r="K267" s="299">
        <v>342</v>
      </c>
    </row>
    <row r="268" spans="1:11" ht="39" customHeight="1" hidden="1" thickBot="1">
      <c r="A268" s="301">
        <v>2</v>
      </c>
      <c r="B268" s="10" t="s">
        <v>518</v>
      </c>
      <c r="C268" s="305"/>
      <c r="D268" s="6">
        <f>E268</f>
        <v>0</v>
      </c>
      <c r="E268" s="6">
        <f>D268</f>
        <v>0</v>
      </c>
      <c r="K268" s="299">
        <v>344</v>
      </c>
    </row>
    <row r="269" spans="1:11" ht="39" customHeight="1" thickBot="1">
      <c r="A269" s="301">
        <v>2</v>
      </c>
      <c r="B269" s="10" t="s">
        <v>622</v>
      </c>
      <c r="C269" s="305"/>
      <c r="D269" s="6">
        <f>E269</f>
        <v>17640</v>
      </c>
      <c r="E269" s="6">
        <f>77565-59925</f>
        <v>17640</v>
      </c>
      <c r="K269" s="299">
        <v>346</v>
      </c>
    </row>
    <row r="270" spans="1:11" ht="39" customHeight="1" thickBot="1">
      <c r="A270" s="301">
        <v>3</v>
      </c>
      <c r="B270" s="10" t="s">
        <v>624</v>
      </c>
      <c r="C270" s="305"/>
      <c r="D270" s="6">
        <f>E270</f>
        <v>181000</v>
      </c>
      <c r="E270" s="6">
        <v>181000</v>
      </c>
      <c r="K270" s="299">
        <v>344</v>
      </c>
    </row>
    <row r="271" spans="1:11" ht="39" customHeight="1" thickBot="1">
      <c r="A271" s="301">
        <v>4</v>
      </c>
      <c r="B271" s="10" t="s">
        <v>625</v>
      </c>
      <c r="C271" s="305"/>
      <c r="D271" s="6">
        <f>E271</f>
        <v>40500</v>
      </c>
      <c r="E271" s="6">
        <v>40500</v>
      </c>
      <c r="K271" s="299">
        <v>345</v>
      </c>
    </row>
    <row r="272" spans="1:11" ht="39" customHeight="1" thickBot="1">
      <c r="A272" s="301"/>
      <c r="B272" s="303" t="s">
        <v>445</v>
      </c>
      <c r="C272" s="5"/>
      <c r="D272" s="7"/>
      <c r="E272" s="7">
        <f>E267+E269+E270+E271</f>
        <v>8495553.15</v>
      </c>
      <c r="K272" s="299"/>
    </row>
    <row r="273" spans="1:11" ht="31.5" customHeight="1" thickBot="1">
      <c r="A273" s="714" t="s">
        <v>442</v>
      </c>
      <c r="B273" s="715"/>
      <c r="C273" s="715"/>
      <c r="D273" s="715"/>
      <c r="E273" s="716"/>
      <c r="K273" s="299"/>
    </row>
    <row r="274" spans="1:11" ht="41.25" customHeight="1" hidden="1" thickBot="1">
      <c r="A274" s="301">
        <v>1</v>
      </c>
      <c r="B274" s="214" t="s">
        <v>515</v>
      </c>
      <c r="C274" s="215"/>
      <c r="D274" s="196">
        <f>E274</f>
        <v>0</v>
      </c>
      <c r="E274" s="216"/>
      <c r="K274" s="299">
        <v>349</v>
      </c>
    </row>
    <row r="275" spans="1:12" ht="31.5" customHeight="1" thickBot="1">
      <c r="A275" s="301">
        <v>1</v>
      </c>
      <c r="B275" s="10" t="s">
        <v>571</v>
      </c>
      <c r="C275" s="5"/>
      <c r="D275" s="343">
        <f>E275</f>
        <v>3350084.42</v>
      </c>
      <c r="E275" s="6">
        <f>'доход 2022г '!H54+'доход 2022г '!E62</f>
        <v>3350084.42</v>
      </c>
      <c r="K275" s="299">
        <v>342</v>
      </c>
      <c r="L275" s="12">
        <f>2634519.93-597389.17-E275</f>
        <v>-1312953.6599999997</v>
      </c>
    </row>
    <row r="276" spans="1:12" ht="31.5" customHeight="1" hidden="1" thickBot="1">
      <c r="A276" s="301">
        <v>2</v>
      </c>
      <c r="B276" s="10" t="s">
        <v>570</v>
      </c>
      <c r="C276" s="5"/>
      <c r="D276" s="343">
        <f>E276</f>
        <v>0</v>
      </c>
      <c r="E276" s="6">
        <v>0</v>
      </c>
      <c r="K276" s="299">
        <v>346</v>
      </c>
      <c r="L276" s="12">
        <f>245255.49-45739.61-E276</f>
        <v>199515.88</v>
      </c>
    </row>
    <row r="277" spans="1:11" ht="39.75" customHeight="1" hidden="1" thickBot="1">
      <c r="A277" s="301">
        <v>3</v>
      </c>
      <c r="B277" s="10" t="s">
        <v>621</v>
      </c>
      <c r="C277" s="5"/>
      <c r="D277" s="343"/>
      <c r="E277" s="6">
        <v>0</v>
      </c>
      <c r="K277" s="299"/>
    </row>
    <row r="278" spans="1:5" ht="39" customHeight="1" thickBot="1">
      <c r="A278" s="301"/>
      <c r="B278" s="303" t="s">
        <v>445</v>
      </c>
      <c r="C278" s="5"/>
      <c r="D278" s="7"/>
      <c r="E278" s="217">
        <f>E276+E275+E274+E277</f>
        <v>3350084.42</v>
      </c>
    </row>
    <row r="279" spans="1:5" ht="21.75" customHeight="1" thickBot="1">
      <c r="A279" s="11"/>
      <c r="B279" s="303" t="s">
        <v>447</v>
      </c>
      <c r="C279" s="5"/>
      <c r="D279" s="7"/>
      <c r="E279" s="7">
        <f>E278+E272+E265</f>
        <v>13431812.86</v>
      </c>
    </row>
    <row r="280" ht="15" hidden="1"/>
    <row r="281" spans="1:3" ht="15" hidden="1">
      <c r="A281" s="728"/>
      <c r="B281" s="728"/>
      <c r="C281" s="728"/>
    </row>
    <row r="282" spans="6:13" ht="15" hidden="1">
      <c r="F282" s="1" t="s">
        <v>390</v>
      </c>
      <c r="G282" s="30">
        <v>4553626.88</v>
      </c>
      <c r="H282" s="30">
        <f>E254+E255+E256+E258+E259+E260+E242+D221-D213+E186+F130+F43-E184+F44+E105-D214-D211</f>
        <v>5606900.773138914</v>
      </c>
      <c r="I282" s="344">
        <f>G282-H282</f>
        <v>-1053273.8931389144</v>
      </c>
      <c r="J282" s="49"/>
      <c r="K282" s="49"/>
      <c r="M282" s="12"/>
    </row>
    <row r="283" spans="6:11" ht="15" hidden="1">
      <c r="F283" s="1" t="s">
        <v>391</v>
      </c>
      <c r="G283" s="30">
        <v>4312863.85</v>
      </c>
      <c r="H283" s="30">
        <f>E263+E261+E243+D213+E184+D214</f>
        <v>3776040.95</v>
      </c>
      <c r="I283" s="344">
        <f>G283-H283</f>
        <v>536822.8999999994</v>
      </c>
      <c r="J283" s="49"/>
      <c r="K283" s="49"/>
    </row>
    <row r="284" spans="3:11" ht="15" hidden="1">
      <c r="C284" s="1" t="s">
        <v>514</v>
      </c>
      <c r="D284" s="12">
        <f>E197+D228+E251+E274+E275</f>
        <v>3570310.32</v>
      </c>
      <c r="F284" s="1" t="s">
        <v>519</v>
      </c>
      <c r="G284" s="12">
        <v>70400.94</v>
      </c>
      <c r="H284" s="12">
        <f>E244+E264+E262</f>
        <v>59423.4</v>
      </c>
      <c r="I284" s="344">
        <f>G284-H284</f>
        <v>10977.54</v>
      </c>
      <c r="J284" s="70"/>
      <c r="K284" s="49"/>
    </row>
    <row r="285" spans="4:11" ht="15" hidden="1">
      <c r="D285" s="12">
        <f>D284-'доход 2022г '!E62</f>
        <v>3561800.94</v>
      </c>
      <c r="J285" s="49"/>
      <c r="K285" s="49"/>
    </row>
    <row r="286" spans="10:11" ht="15" hidden="1">
      <c r="J286" s="49"/>
      <c r="K286" s="49"/>
    </row>
    <row r="287" spans="4:11" ht="15" hidden="1">
      <c r="D287" s="71"/>
      <c r="E287" s="12">
        <f>E278++E251+D228+E197+E120+F54</f>
        <v>3628659.29</v>
      </c>
      <c r="J287" s="51"/>
      <c r="K287" s="51"/>
    </row>
    <row r="288" spans="4:15" s="66" customFormat="1" ht="15" hidden="1">
      <c r="D288" s="345"/>
      <c r="J288" s="346"/>
      <c r="K288" s="346"/>
      <c r="L288" s="347"/>
      <c r="M288" s="347" t="s">
        <v>502</v>
      </c>
      <c r="N288" s="348" t="s">
        <v>503</v>
      </c>
      <c r="O288" s="349" t="s">
        <v>504</v>
      </c>
    </row>
    <row r="289" spans="4:15" s="66" customFormat="1" ht="15" hidden="1">
      <c r="D289" s="345"/>
      <c r="E289" s="350"/>
      <c r="L289" s="347" t="s">
        <v>505</v>
      </c>
      <c r="M289" s="351">
        <f>E272+D225+E192+E137+E92+D82+F47+J35+E248</f>
        <v>20187866.42</v>
      </c>
      <c r="N289" s="352">
        <f>'стр.1_4'!DF49</f>
        <v>20257851.500000004</v>
      </c>
      <c r="O289" s="353">
        <f>N289-M289</f>
        <v>69985.08000000194</v>
      </c>
    </row>
    <row r="290" spans="4:15" s="66" customFormat="1" ht="15" hidden="1">
      <c r="D290" s="345"/>
      <c r="E290" s="350"/>
      <c r="F290" s="350"/>
      <c r="L290" s="354" t="s">
        <v>425</v>
      </c>
      <c r="M290" s="352">
        <f>E278+E251+D228+E197+E118+F54+E119</f>
        <v>3628659.29</v>
      </c>
      <c r="N290" s="352">
        <f>'стр.1_4'!DF37+'стр.1_4'!DF44</f>
        <v>3664984.65</v>
      </c>
      <c r="O290" s="353">
        <f>N290-M290</f>
        <v>36325.35999999987</v>
      </c>
    </row>
    <row r="291" spans="4:16" s="66" customFormat="1" ht="15" hidden="1">
      <c r="D291" s="345"/>
      <c r="E291" s="350"/>
      <c r="L291" s="347" t="s">
        <v>506</v>
      </c>
      <c r="M291" s="352">
        <f>E265+E245+D221+E186+G148+F130+E115+D72+F43+J24-K68+F44+E89+E105</f>
        <v>96362640.28313892</v>
      </c>
      <c r="N291" s="352">
        <f>'стр.1_4'!DF36</f>
        <v>96342672.2</v>
      </c>
      <c r="O291" s="353">
        <f>N291-M291</f>
        <v>-19968.083138912916</v>
      </c>
      <c r="P291" s="355"/>
    </row>
    <row r="292" spans="4:15" s="66" customFormat="1" ht="15">
      <c r="D292" s="345"/>
      <c r="E292" s="350"/>
      <c r="L292" s="347"/>
      <c r="M292" s="356"/>
      <c r="N292" s="356"/>
      <c r="O292" s="356"/>
    </row>
    <row r="293" spans="4:15" s="66" customFormat="1" ht="15">
      <c r="D293" s="345"/>
      <c r="E293" s="350"/>
      <c r="L293" s="357"/>
      <c r="M293" s="356"/>
      <c r="N293" s="356"/>
      <c r="O293" s="356"/>
    </row>
    <row r="294" spans="4:15" s="66" customFormat="1" ht="15">
      <c r="D294" s="345"/>
      <c r="E294" s="350"/>
      <c r="L294" s="358"/>
      <c r="M294" s="358"/>
      <c r="N294" s="348"/>
      <c r="O294" s="348"/>
    </row>
    <row r="295" spans="4:13" s="66" customFormat="1" ht="15">
      <c r="D295" s="345"/>
      <c r="E295" s="350"/>
      <c r="M295" s="350">
        <f>E279+E252+D229+E198+G148+F130+E115+E92+D72+F48+J24</f>
        <v>113011727.4031389</v>
      </c>
    </row>
    <row r="296" spans="4:13" s="66" customFormat="1" ht="15">
      <c r="D296" s="345"/>
      <c r="E296" s="350"/>
      <c r="M296" s="350">
        <f>M295-M291-M290-M289</f>
        <v>-7167438.590000011</v>
      </c>
    </row>
    <row r="297" s="66" customFormat="1" ht="15"/>
    <row r="298" spans="12:14" s="66" customFormat="1" ht="15">
      <c r="L298" s="66" t="s">
        <v>507</v>
      </c>
      <c r="M298" s="350">
        <f>M289+M291</f>
        <v>116550506.70313892</v>
      </c>
      <c r="N298" s="350">
        <f>M298-N289-N291</f>
        <v>-50016.996861085296</v>
      </c>
    </row>
    <row r="299" s="66" customFormat="1" ht="15"/>
    <row r="300" s="66" customFormat="1" ht="15"/>
    <row r="301" s="66" customFormat="1" ht="15"/>
    <row r="302" s="66" customFormat="1" ht="15"/>
    <row r="303" s="66" customFormat="1" ht="15"/>
    <row r="304" s="66" customFormat="1" ht="23.25">
      <c r="E304" s="359"/>
    </row>
    <row r="305" s="66" customFormat="1" ht="15"/>
    <row r="306" spans="4:7" s="66" customFormat="1" ht="20.25">
      <c r="D306" s="360"/>
      <c r="E306" s="361"/>
      <c r="F306" s="360"/>
      <c r="G306" s="288"/>
    </row>
    <row r="307" spans="4:7" s="66" customFormat="1" ht="20.25">
      <c r="D307" s="360"/>
      <c r="E307" s="360"/>
      <c r="F307" s="360"/>
      <c r="G307" s="288"/>
    </row>
    <row r="308" spans="4:8" s="66" customFormat="1" ht="21">
      <c r="D308" s="360"/>
      <c r="E308" s="362"/>
      <c r="F308" s="363"/>
      <c r="G308" s="363"/>
      <c r="H308" s="364"/>
    </row>
    <row r="309" spans="4:8" s="66" customFormat="1" ht="21">
      <c r="D309" s="360"/>
      <c r="E309" s="362"/>
      <c r="F309" s="363"/>
      <c r="G309" s="363"/>
      <c r="H309" s="364"/>
    </row>
    <row r="310" spans="4:8" s="66" customFormat="1" ht="21">
      <c r="D310" s="360"/>
      <c r="E310" s="362"/>
      <c r="F310" s="363"/>
      <c r="G310" s="363"/>
      <c r="H310" s="364"/>
    </row>
    <row r="311" spans="4:8" s="66" customFormat="1" ht="21">
      <c r="D311" s="360"/>
      <c r="E311" s="362"/>
      <c r="F311" s="363"/>
      <c r="G311" s="363"/>
      <c r="H311" s="364"/>
    </row>
    <row r="312" spans="4:8" s="66" customFormat="1" ht="21">
      <c r="D312" s="360"/>
      <c r="E312" s="362"/>
      <c r="F312" s="363"/>
      <c r="G312" s="363"/>
      <c r="H312" s="364"/>
    </row>
    <row r="313" spans="4:8" s="66" customFormat="1" ht="21">
      <c r="D313" s="360"/>
      <c r="E313" s="362"/>
      <c r="F313" s="363"/>
      <c r="G313" s="363"/>
      <c r="H313" s="364"/>
    </row>
    <row r="314" spans="4:8" s="66" customFormat="1" ht="21">
      <c r="D314" s="360"/>
      <c r="E314" s="362"/>
      <c r="F314" s="363"/>
      <c r="G314" s="363"/>
      <c r="H314" s="364"/>
    </row>
    <row r="315" spans="4:8" s="66" customFormat="1" ht="21">
      <c r="D315" s="360"/>
      <c r="E315" s="362"/>
      <c r="F315" s="363"/>
      <c r="G315" s="363"/>
      <c r="H315" s="364"/>
    </row>
    <row r="316" spans="4:7" s="66" customFormat="1" ht="20.25">
      <c r="D316" s="360"/>
      <c r="E316" s="360"/>
      <c r="F316" s="360"/>
      <c r="G316" s="287"/>
    </row>
    <row r="317" spans="4:7" s="66" customFormat="1" ht="20.25">
      <c r="D317" s="360"/>
      <c r="E317" s="360"/>
      <c r="F317" s="360"/>
      <c r="G317" s="287"/>
    </row>
    <row r="318" spans="4:7" s="66" customFormat="1" ht="20.25">
      <c r="D318" s="360"/>
      <c r="E318" s="360"/>
      <c r="F318" s="360"/>
      <c r="G318" s="287"/>
    </row>
    <row r="319" spans="4:6" s="66" customFormat="1" ht="21">
      <c r="D319" s="364"/>
      <c r="E319" s="364"/>
      <c r="F319" s="364"/>
    </row>
    <row r="320" spans="4:6" s="66" customFormat="1" ht="21">
      <c r="D320" s="364"/>
      <c r="E320" s="364"/>
      <c r="F320" s="364"/>
    </row>
    <row r="321" spans="5:10" s="66" customFormat="1" ht="23.25">
      <c r="E321" s="359"/>
      <c r="J321" s="365"/>
    </row>
    <row r="322" s="66" customFormat="1" ht="15"/>
    <row r="323" spans="4:10" s="66" customFormat="1" ht="23.25">
      <c r="D323" s="360"/>
      <c r="E323" s="361"/>
      <c r="F323" s="360"/>
      <c r="G323" s="288"/>
      <c r="J323" s="366"/>
    </row>
    <row r="324" spans="4:7" s="66" customFormat="1" ht="20.25">
      <c r="D324" s="360"/>
      <c r="E324" s="360"/>
      <c r="F324" s="360"/>
      <c r="G324" s="288"/>
    </row>
    <row r="325" spans="4:12" s="66" customFormat="1" ht="23.25">
      <c r="D325" s="360"/>
      <c r="E325" s="362"/>
      <c r="F325" s="363"/>
      <c r="G325" s="363"/>
      <c r="H325" s="364"/>
      <c r="I325" s="359"/>
      <c r="J325" s="367"/>
      <c r="K325" s="368"/>
      <c r="L325" s="369"/>
    </row>
    <row r="326" spans="4:12" s="66" customFormat="1" ht="21">
      <c r="D326" s="360"/>
      <c r="E326" s="362"/>
      <c r="F326" s="363"/>
      <c r="G326" s="363"/>
      <c r="H326" s="364"/>
      <c r="I326" s="364"/>
      <c r="J326" s="370"/>
      <c r="K326" s="371"/>
      <c r="L326" s="369"/>
    </row>
    <row r="327" spans="4:8" s="66" customFormat="1" ht="21">
      <c r="D327" s="360"/>
      <c r="E327" s="362"/>
      <c r="F327" s="363"/>
      <c r="G327" s="363"/>
      <c r="H327" s="364"/>
    </row>
    <row r="328" spans="4:8" s="66" customFormat="1" ht="21">
      <c r="D328" s="360"/>
      <c r="E328" s="362"/>
      <c r="F328" s="363"/>
      <c r="G328" s="363"/>
      <c r="H328" s="364"/>
    </row>
    <row r="329" spans="4:8" s="66" customFormat="1" ht="21">
      <c r="D329" s="360"/>
      <c r="E329" s="362"/>
      <c r="F329" s="360"/>
      <c r="G329" s="363"/>
      <c r="H329" s="364"/>
    </row>
    <row r="330" spans="4:8" ht="21">
      <c r="D330" s="360"/>
      <c r="E330" s="362"/>
      <c r="F330" s="363"/>
      <c r="G330" s="363"/>
      <c r="H330" s="331"/>
    </row>
    <row r="331" spans="4:8" ht="21">
      <c r="D331" s="360"/>
      <c r="E331" s="362"/>
      <c r="F331" s="363"/>
      <c r="G331" s="363"/>
      <c r="H331" s="331"/>
    </row>
    <row r="332" spans="4:8" ht="21">
      <c r="D332" s="360"/>
      <c r="E332" s="362"/>
      <c r="F332" s="363"/>
      <c r="G332" s="363"/>
      <c r="H332" s="331"/>
    </row>
    <row r="333" spans="4:8" ht="21">
      <c r="D333" s="360"/>
      <c r="E333" s="362"/>
      <c r="F333" s="363"/>
      <c r="G333" s="363"/>
      <c r="H333" s="331"/>
    </row>
    <row r="334" spans="4:7" ht="20.25">
      <c r="D334" s="360"/>
      <c r="E334" s="360"/>
      <c r="F334" s="360"/>
      <c r="G334" s="287"/>
    </row>
    <row r="335" spans="4:7" ht="20.25">
      <c r="D335" s="360"/>
      <c r="E335" s="360"/>
      <c r="F335" s="360"/>
      <c r="G335" s="287"/>
    </row>
    <row r="336" spans="4:7" ht="20.25">
      <c r="D336" s="360"/>
      <c r="E336" s="360"/>
      <c r="F336" s="360"/>
      <c r="G336" s="287"/>
    </row>
    <row r="337" spans="4:6" ht="21">
      <c r="D337" s="331"/>
      <c r="E337" s="331"/>
      <c r="F337" s="331"/>
    </row>
  </sheetData>
  <sheetProtection/>
  <mergeCells count="71">
    <mergeCell ref="A19:J19"/>
    <mergeCell ref="A65:D65"/>
    <mergeCell ref="A35:B35"/>
    <mergeCell ref="A73:D73"/>
    <mergeCell ref="A77:A78"/>
    <mergeCell ref="C77:C78"/>
    <mergeCell ref="D77:D78"/>
    <mergeCell ref="A38:F38"/>
    <mergeCell ref="A49:F49"/>
    <mergeCell ref="A42:F42"/>
    <mergeCell ref="A246:E246"/>
    <mergeCell ref="B135:E135"/>
    <mergeCell ref="A83:F83"/>
    <mergeCell ref="A57:F57"/>
    <mergeCell ref="A131:F131"/>
    <mergeCell ref="A85:F85"/>
    <mergeCell ref="A138:F138"/>
    <mergeCell ref="A155:E155"/>
    <mergeCell ref="A149:G149"/>
    <mergeCell ref="A46:F46"/>
    <mergeCell ref="A165:E165"/>
    <mergeCell ref="A226:D226"/>
    <mergeCell ref="A281:C281"/>
    <mergeCell ref="A231:E231"/>
    <mergeCell ref="A237:F237"/>
    <mergeCell ref="A273:E273"/>
    <mergeCell ref="A199:E199"/>
    <mergeCell ref="A202:D202"/>
    <mergeCell ref="A249:E249"/>
    <mergeCell ref="A222:D222"/>
    <mergeCell ref="A253:E253"/>
    <mergeCell ref="A241:E241"/>
    <mergeCell ref="A106:G106"/>
    <mergeCell ref="A107:G107"/>
    <mergeCell ref="B110:E110"/>
    <mergeCell ref="B117:E117"/>
    <mergeCell ref="A266:E266"/>
    <mergeCell ref="A162:E162"/>
    <mergeCell ref="A125:F125"/>
    <mergeCell ref="A122:E122"/>
    <mergeCell ref="A193:E193"/>
    <mergeCell ref="A187:E187"/>
    <mergeCell ref="D67:D68"/>
    <mergeCell ref="A32:J32"/>
    <mergeCell ref="A96:G96"/>
    <mergeCell ref="A97:G97"/>
    <mergeCell ref="B100:E100"/>
    <mergeCell ref="A37:F37"/>
    <mergeCell ref="A62:F62"/>
    <mergeCell ref="A67:A68"/>
    <mergeCell ref="A95:G95"/>
    <mergeCell ref="A15:A17"/>
    <mergeCell ref="B15:B17"/>
    <mergeCell ref="J15:J17"/>
    <mergeCell ref="A90:E90"/>
    <mergeCell ref="A88:E88"/>
    <mergeCell ref="A24:B24"/>
    <mergeCell ref="A26:F26"/>
    <mergeCell ref="A84:F84"/>
    <mergeCell ref="D16:D17"/>
    <mergeCell ref="C67:C68"/>
    <mergeCell ref="E16:G16"/>
    <mergeCell ref="C15:C17"/>
    <mergeCell ref="D15:G15"/>
    <mergeCell ref="I15:I17"/>
    <mergeCell ref="A10:J10"/>
    <mergeCell ref="A11:J11"/>
    <mergeCell ref="A12:J12"/>
    <mergeCell ref="A13:J13"/>
    <mergeCell ref="A14:J14"/>
    <mergeCell ref="H15:H17"/>
  </mergeCells>
  <printOptions horizontalCentered="1"/>
  <pageMargins left="0" right="0.2362204724409449" top="0.35433070866141736" bottom="0.35433070866141736" header="0.31496062992125984" footer="0.31496062992125984"/>
  <pageSetup fitToHeight="2" horizontalDpi="600" verticalDpi="600" orientation="portrait" paperSize="9" scale="28" r:id="rId3"/>
  <rowBreaks count="2" manualBreakCount="2">
    <brk id="94" max="9" man="1"/>
    <brk id="225" max="9" man="1"/>
  </rowBreaks>
  <legacyDrawing r:id="rId2"/>
</worksheet>
</file>

<file path=xl/worksheets/sheet4.xml><?xml version="1.0" encoding="utf-8"?>
<worksheet xmlns="http://schemas.openxmlformats.org/spreadsheetml/2006/main" xmlns:r="http://schemas.openxmlformats.org/officeDocument/2006/relationships">
  <sheetPr>
    <tabColor rgb="FFFFC000"/>
  </sheetPr>
  <dimension ref="A1:FF97"/>
  <sheetViews>
    <sheetView view="pageBreakPreview" zoomScale="68" zoomScaleNormal="68" zoomScaleSheetLayoutView="68" zoomScalePageLayoutView="0" workbookViewId="0" topLeftCell="A49">
      <selection activeCell="G61" sqref="G61"/>
    </sheetView>
  </sheetViews>
  <sheetFormatPr defaultColWidth="9.00390625" defaultRowHeight="12.75"/>
  <cols>
    <col min="1" max="1" width="8.625" style="31" customWidth="1"/>
    <col min="2" max="2" width="47.625" style="31" customWidth="1"/>
    <col min="3" max="3" width="21.625" style="31" customWidth="1"/>
    <col min="4" max="4" width="42.125" style="31" customWidth="1"/>
    <col min="5" max="5" width="30.125" style="31" customWidth="1"/>
    <col min="6" max="6" width="19.875" style="31" customWidth="1"/>
    <col min="7" max="7" width="23.375" style="31" customWidth="1"/>
    <col min="8" max="8" width="20.625" style="31" customWidth="1"/>
    <col min="9" max="9" width="21.125" style="31" customWidth="1"/>
    <col min="10" max="10" width="19.625" style="31" hidden="1" customWidth="1"/>
    <col min="11" max="11" width="25.875" style="31" hidden="1" customWidth="1"/>
    <col min="12" max="12" width="18.75390625" style="31" hidden="1" customWidth="1"/>
    <col min="13" max="13" width="18.625" style="31" hidden="1" customWidth="1"/>
    <col min="14" max="16" width="0" style="31" hidden="1" customWidth="1"/>
    <col min="17" max="17" width="13.75390625" style="31" hidden="1" customWidth="1"/>
    <col min="18" max="18" width="13.375" style="31" hidden="1" customWidth="1"/>
    <col min="19" max="31" width="0" style="31" hidden="1" customWidth="1"/>
    <col min="32" max="32" width="12.625" style="31" bestFit="1" customWidth="1"/>
    <col min="33" max="33" width="16.00390625" style="31" bestFit="1" customWidth="1"/>
    <col min="34" max="16384" width="9.125" style="31" customWidth="1"/>
  </cols>
  <sheetData>
    <row r="1" spans="6:9" ht="15" customHeight="1">
      <c r="F1" s="32"/>
      <c r="G1" s="32"/>
      <c r="H1" s="32"/>
      <c r="I1" s="2" t="s">
        <v>408</v>
      </c>
    </row>
    <row r="2" spans="6:9" ht="18.75" customHeight="1">
      <c r="F2" s="32"/>
      <c r="G2" s="32"/>
      <c r="H2" s="32"/>
      <c r="I2" s="2" t="s">
        <v>283</v>
      </c>
    </row>
    <row r="3" spans="6:9" ht="16.5" customHeight="1">
      <c r="F3" s="32"/>
      <c r="G3" s="32"/>
      <c r="H3" s="32"/>
      <c r="I3" s="3" t="s">
        <v>284</v>
      </c>
    </row>
    <row r="4" spans="6:9" ht="16.5" customHeight="1">
      <c r="F4" s="32"/>
      <c r="G4" s="32"/>
      <c r="H4" s="32"/>
      <c r="I4" s="3" t="s">
        <v>285</v>
      </c>
    </row>
    <row r="5" spans="6:9" ht="16.5" customHeight="1">
      <c r="F5" s="32"/>
      <c r="G5" s="32"/>
      <c r="H5" s="32"/>
      <c r="I5" s="3" t="s">
        <v>286</v>
      </c>
    </row>
    <row r="6" spans="6:9" ht="16.5" customHeight="1">
      <c r="F6" s="32"/>
      <c r="G6" s="32"/>
      <c r="H6" s="32"/>
      <c r="I6" s="3" t="s">
        <v>287</v>
      </c>
    </row>
    <row r="7" spans="6:9" ht="16.5" customHeight="1">
      <c r="F7" s="32"/>
      <c r="G7" s="32"/>
      <c r="H7" s="32"/>
      <c r="I7" s="3" t="s">
        <v>288</v>
      </c>
    </row>
    <row r="8" spans="6:9" ht="15" customHeight="1">
      <c r="F8" s="33"/>
      <c r="G8" s="32"/>
      <c r="H8" s="32"/>
      <c r="I8" s="3" t="s">
        <v>392</v>
      </c>
    </row>
    <row r="9" spans="6:9" ht="15">
      <c r="F9" s="32"/>
      <c r="G9" s="32"/>
      <c r="H9" s="32"/>
      <c r="I9" s="32"/>
    </row>
    <row r="10" ht="15"/>
    <row r="11" spans="1:9" ht="15" customHeight="1">
      <c r="A11" s="712" t="s">
        <v>513</v>
      </c>
      <c r="B11" s="712"/>
      <c r="C11" s="712"/>
      <c r="D11" s="712"/>
      <c r="E11" s="712"/>
      <c r="F11" s="712"/>
      <c r="G11" s="712"/>
      <c r="H11" s="712"/>
      <c r="I11" s="712"/>
    </row>
    <row r="12" ht="18.75">
      <c r="A12" s="8"/>
    </row>
    <row r="13" spans="1:5" s="1" customFormat="1" ht="18.75">
      <c r="A13" s="712" t="s">
        <v>409</v>
      </c>
      <c r="B13" s="712"/>
      <c r="C13" s="712"/>
      <c r="D13" s="712"/>
      <c r="E13" s="712"/>
    </row>
    <row r="14" spans="1:9" s="1" customFormat="1" ht="22.5">
      <c r="A14" s="751" t="s">
        <v>583</v>
      </c>
      <c r="B14" s="751"/>
      <c r="C14" s="751"/>
      <c r="D14" s="751"/>
      <c r="E14" s="751"/>
      <c r="F14" s="751"/>
      <c r="G14" s="751"/>
      <c r="H14" s="751"/>
      <c r="I14" s="751"/>
    </row>
    <row r="15" spans="1:9" s="1" customFormat="1" ht="22.5">
      <c r="A15" s="293" t="s">
        <v>584</v>
      </c>
      <c r="B15" s="293"/>
      <c r="C15" s="293"/>
      <c r="D15" s="293"/>
      <c r="E15" s="293"/>
      <c r="F15" s="293"/>
      <c r="G15" s="293"/>
      <c r="H15" s="293"/>
      <c r="I15" s="293"/>
    </row>
    <row r="16" spans="1:9" s="1" customFormat="1" ht="26.25" customHeight="1">
      <c r="A16" s="750" t="s">
        <v>585</v>
      </c>
      <c r="B16" s="750"/>
      <c r="C16" s="750"/>
      <c r="D16" s="750"/>
      <c r="E16" s="750"/>
      <c r="F16" s="750"/>
      <c r="G16" s="750"/>
      <c r="H16" s="750"/>
      <c r="I16" s="750"/>
    </row>
    <row r="17" ht="15.75" thickBot="1"/>
    <row r="18" spans="1:5" ht="84" customHeight="1" thickBot="1">
      <c r="A18" s="4" t="s">
        <v>292</v>
      </c>
      <c r="B18" s="296" t="s">
        <v>410</v>
      </c>
      <c r="C18" s="296" t="s">
        <v>411</v>
      </c>
      <c r="D18" s="296" t="s">
        <v>412</v>
      </c>
      <c r="E18" s="296" t="s">
        <v>413</v>
      </c>
    </row>
    <row r="19" spans="1:5" ht="19.5" thickBot="1">
      <c r="A19" s="301">
        <v>1</v>
      </c>
      <c r="B19" s="305">
        <v>2</v>
      </c>
      <c r="C19" s="305">
        <v>3</v>
      </c>
      <c r="D19" s="305">
        <v>4</v>
      </c>
      <c r="E19" s="305">
        <v>5</v>
      </c>
    </row>
    <row r="20" spans="1:5" ht="19.5" thickBot="1">
      <c r="A20" s="301">
        <v>1</v>
      </c>
      <c r="B20" s="305" t="s">
        <v>414</v>
      </c>
      <c r="C20" s="305"/>
      <c r="D20" s="305"/>
      <c r="E20" s="6"/>
    </row>
    <row r="21" spans="1:5" ht="19.5" thickBot="1">
      <c r="A21" s="301"/>
      <c r="B21" s="305" t="s">
        <v>50</v>
      </c>
      <c r="C21" s="305"/>
      <c r="D21" s="305"/>
      <c r="E21" s="6">
        <v>0</v>
      </c>
    </row>
    <row r="22" spans="1:32" ht="20.25" customHeight="1" thickBot="1">
      <c r="A22" s="301"/>
      <c r="B22" s="305" t="s">
        <v>489</v>
      </c>
      <c r="C22" s="305">
        <v>1879.62</v>
      </c>
      <c r="D22" s="305">
        <v>5</v>
      </c>
      <c r="E22" s="6">
        <f>C22*D22</f>
        <v>9398.099999999999</v>
      </c>
      <c r="AF22" s="34"/>
    </row>
    <row r="23" spans="1:5" ht="19.5" thickBot="1">
      <c r="A23" s="301"/>
      <c r="B23" s="303" t="s">
        <v>307</v>
      </c>
      <c r="C23" s="5" t="s">
        <v>313</v>
      </c>
      <c r="D23" s="5" t="s">
        <v>313</v>
      </c>
      <c r="E23" s="9">
        <f>E22</f>
        <v>9398.099999999999</v>
      </c>
    </row>
    <row r="24" ht="15"/>
    <row r="25" spans="1:162" s="24" customFormat="1" ht="10.5">
      <c r="A25" s="630" t="s">
        <v>41</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H25" s="630"/>
      <c r="DI25" s="630"/>
      <c r="DJ25" s="630"/>
      <c r="DK25" s="630"/>
      <c r="DL25" s="630"/>
      <c r="DM25" s="630"/>
      <c r="DN25" s="630"/>
      <c r="DO25" s="630"/>
      <c r="DP25" s="630"/>
      <c r="DQ25" s="630"/>
      <c r="DR25" s="630"/>
      <c r="DS25" s="630"/>
      <c r="DT25" s="630"/>
      <c r="DU25" s="630"/>
      <c r="DV25" s="630"/>
      <c r="DW25" s="630"/>
      <c r="DX25" s="630"/>
      <c r="DY25" s="630"/>
      <c r="DZ25" s="630"/>
      <c r="EA25" s="630"/>
      <c r="EB25" s="630"/>
      <c r="EC25" s="630"/>
      <c r="ED25" s="630"/>
      <c r="EE25" s="630"/>
      <c r="EF25" s="630"/>
      <c r="EG25" s="630"/>
      <c r="EH25" s="630"/>
      <c r="EI25" s="630"/>
      <c r="EJ25" s="630"/>
      <c r="EK25" s="630"/>
      <c r="EL25" s="630"/>
      <c r="EM25" s="630"/>
      <c r="EN25" s="630"/>
      <c r="EO25" s="630"/>
      <c r="EP25" s="630"/>
      <c r="EQ25" s="630"/>
      <c r="ER25" s="630"/>
      <c r="ES25" s="630"/>
      <c r="ET25" s="630"/>
      <c r="EU25" s="630"/>
      <c r="EV25" s="630"/>
      <c r="EW25" s="630"/>
      <c r="EX25" s="630"/>
      <c r="EY25" s="630"/>
      <c r="EZ25" s="630"/>
      <c r="FA25" s="630"/>
      <c r="FB25" s="630"/>
      <c r="FC25" s="630"/>
      <c r="FD25" s="630"/>
      <c r="FE25" s="630"/>
      <c r="FF25" s="105"/>
    </row>
    <row r="26" spans="1:9" s="1" customFormat="1" ht="18.75">
      <c r="A26" s="752" t="s">
        <v>493</v>
      </c>
      <c r="B26" s="752"/>
      <c r="C26" s="752"/>
      <c r="D26" s="752"/>
      <c r="E26" s="752"/>
      <c r="F26" s="752"/>
      <c r="G26" s="752"/>
      <c r="H26" s="752"/>
      <c r="I26" s="752"/>
    </row>
    <row r="27" spans="1:9" s="1" customFormat="1" ht="18.75">
      <c r="A27" s="292" t="s">
        <v>586</v>
      </c>
      <c r="B27" s="292"/>
      <c r="C27" s="292"/>
      <c r="D27" s="292"/>
      <c r="E27" s="292"/>
      <c r="F27" s="292"/>
      <c r="G27" s="292"/>
      <c r="H27" s="292"/>
      <c r="I27" s="292"/>
    </row>
    <row r="28" spans="1:9" s="1" customFormat="1" ht="18.75">
      <c r="A28" s="720" t="s">
        <v>492</v>
      </c>
      <c r="B28" s="720"/>
      <c r="C28" s="720"/>
      <c r="D28" s="720"/>
      <c r="E28" s="720"/>
      <c r="F28" s="720"/>
      <c r="G28" s="720"/>
      <c r="H28" s="720"/>
      <c r="I28" s="720"/>
    </row>
    <row r="29" spans="1:9" s="1" customFormat="1" ht="18.75">
      <c r="A29" s="291"/>
      <c r="B29" s="291"/>
      <c r="C29" s="291"/>
      <c r="D29" s="291"/>
      <c r="E29" s="291"/>
      <c r="F29" s="291"/>
      <c r="G29" s="291"/>
      <c r="H29" s="291"/>
      <c r="I29" s="291"/>
    </row>
    <row r="30" spans="1:7" s="1" customFormat="1" ht="18.75">
      <c r="A30" s="183" t="s">
        <v>587</v>
      </c>
      <c r="G30" s="12"/>
    </row>
    <row r="31" ht="15.75" thickBot="1">
      <c r="G31" s="34"/>
    </row>
    <row r="32" spans="1:9" ht="66.75" customHeight="1" thickBot="1">
      <c r="A32" s="4" t="s">
        <v>292</v>
      </c>
      <c r="B32" s="296" t="s">
        <v>415</v>
      </c>
      <c r="C32" s="296" t="s">
        <v>416</v>
      </c>
      <c r="D32" s="296" t="s">
        <v>490</v>
      </c>
      <c r="E32" s="296" t="s">
        <v>417</v>
      </c>
      <c r="I32" s="34"/>
    </row>
    <row r="33" spans="1:5" ht="19.5" thickBot="1">
      <c r="A33" s="301">
        <v>1</v>
      </c>
      <c r="B33" s="305">
        <v>2</v>
      </c>
      <c r="C33" s="305">
        <v>3</v>
      </c>
      <c r="D33" s="305">
        <v>4</v>
      </c>
      <c r="E33" s="305">
        <v>5</v>
      </c>
    </row>
    <row r="34" spans="1:161" ht="39.75" customHeight="1" thickBot="1">
      <c r="A34" s="301">
        <v>1</v>
      </c>
      <c r="B34" s="305" t="s">
        <v>509</v>
      </c>
      <c r="C34" s="136">
        <v>250</v>
      </c>
      <c r="D34" s="305">
        <v>15</v>
      </c>
      <c r="E34" s="6">
        <f>C34*D34*8*9</f>
        <v>270000</v>
      </c>
      <c r="CN34" s="755"/>
      <c r="CO34" s="755"/>
      <c r="CP34" s="755"/>
      <c r="CQ34" s="755"/>
      <c r="CR34" s="755"/>
      <c r="CS34" s="755"/>
      <c r="CT34" s="755"/>
      <c r="CU34" s="755"/>
      <c r="CV34" s="756"/>
      <c r="CW34" s="756"/>
      <c r="CX34" s="756"/>
      <c r="CY34" s="756"/>
      <c r="CZ34" s="756"/>
      <c r="DA34" s="756"/>
      <c r="DB34" s="756"/>
      <c r="DC34" s="756"/>
      <c r="DD34" s="756"/>
      <c r="DE34" s="756"/>
      <c r="DF34" s="756"/>
      <c r="DG34" s="756"/>
      <c r="DH34" s="756"/>
      <c r="DI34" s="756"/>
      <c r="DJ34" s="756"/>
      <c r="DK34" s="756"/>
      <c r="DL34" s="756"/>
      <c r="DM34" s="756"/>
      <c r="DN34" s="756"/>
      <c r="DO34" s="756"/>
      <c r="DP34" s="756"/>
      <c r="DQ34" s="756"/>
      <c r="DR34" s="756"/>
      <c r="DS34" s="756"/>
      <c r="DT34" s="756"/>
      <c r="DU34" s="756"/>
      <c r="DV34" s="756"/>
      <c r="DW34" s="756"/>
      <c r="DX34" s="756"/>
      <c r="DY34" s="756"/>
      <c r="DZ34" s="756"/>
      <c r="EA34" s="756"/>
      <c r="EB34" s="756"/>
      <c r="EC34" s="756"/>
      <c r="ED34" s="756"/>
      <c r="EE34" s="756"/>
      <c r="EF34" s="756"/>
      <c r="EG34" s="756"/>
      <c r="EH34" s="756"/>
      <c r="EI34" s="756"/>
      <c r="EJ34" s="756"/>
      <c r="EK34" s="756"/>
      <c r="EL34" s="756"/>
      <c r="EM34" s="756"/>
      <c r="EN34" s="756"/>
      <c r="EO34" s="756"/>
      <c r="EP34" s="756"/>
      <c r="EQ34" s="756"/>
      <c r="ER34" s="756"/>
      <c r="ES34" s="756"/>
      <c r="ET34" s="756"/>
      <c r="EU34" s="756"/>
      <c r="EV34" s="756"/>
      <c r="EW34" s="756"/>
      <c r="EX34" s="756"/>
      <c r="EY34" s="756"/>
      <c r="EZ34" s="756"/>
      <c r="FA34" s="756"/>
      <c r="FB34" s="756"/>
      <c r="FC34" s="756"/>
      <c r="FD34" s="756"/>
      <c r="FE34" s="756"/>
    </row>
    <row r="35" spans="1:161" ht="19.5" thickBot="1">
      <c r="A35" s="301">
        <v>2</v>
      </c>
      <c r="B35" s="305" t="s">
        <v>510</v>
      </c>
      <c r="C35" s="136">
        <v>258</v>
      </c>
      <c r="D35" s="305">
        <v>10</v>
      </c>
      <c r="E35" s="6">
        <f>C35*D35*8*9</f>
        <v>185760</v>
      </c>
      <c r="CN35" s="755"/>
      <c r="CO35" s="755"/>
      <c r="CP35" s="755"/>
      <c r="CQ35" s="755"/>
      <c r="CR35" s="755"/>
      <c r="CS35" s="755"/>
      <c r="CT35" s="755"/>
      <c r="CU35" s="755"/>
      <c r="CV35" s="757">
        <v>2024</v>
      </c>
      <c r="CW35" s="757"/>
      <c r="CX35" s="757"/>
      <c r="CY35" s="757"/>
      <c r="CZ35" s="757"/>
      <c r="DA35" s="757"/>
      <c r="DB35" s="757"/>
      <c r="DC35" s="757"/>
      <c r="DD35" s="757"/>
      <c r="DE35" s="757"/>
      <c r="DF35" s="757"/>
      <c r="DG35" s="757"/>
      <c r="DH35" s="757"/>
      <c r="DI35" s="757"/>
      <c r="DJ35" s="757"/>
      <c r="DK35" s="757"/>
      <c r="DL35" s="757"/>
      <c r="DM35" s="757"/>
      <c r="DN35" s="757"/>
      <c r="DO35" s="757"/>
      <c r="DP35" s="757"/>
      <c r="DQ35" s="757"/>
      <c r="DR35" s="757"/>
      <c r="DS35" s="757"/>
      <c r="DT35" s="757"/>
      <c r="DU35" s="757"/>
      <c r="DV35" s="757"/>
      <c r="DW35" s="757"/>
      <c r="DX35" s="757"/>
      <c r="DY35" s="757"/>
      <c r="DZ35" s="757"/>
      <c r="EA35" s="757"/>
      <c r="EB35" s="757"/>
      <c r="EC35" s="757"/>
      <c r="ED35" s="757"/>
      <c r="EE35" s="757"/>
      <c r="EF35" s="757">
        <f>EF11</f>
        <v>0</v>
      </c>
      <c r="EG35" s="757"/>
      <c r="EH35" s="757"/>
      <c r="EI35" s="757"/>
      <c r="EJ35" s="757"/>
      <c r="EK35" s="757"/>
      <c r="EL35" s="757"/>
      <c r="EM35" s="757"/>
      <c r="EN35" s="757"/>
      <c r="EO35" s="757"/>
      <c r="EP35" s="757"/>
      <c r="EQ35" s="757"/>
      <c r="ER35" s="757"/>
      <c r="ES35" s="757"/>
      <c r="ET35" s="757"/>
      <c r="EU35" s="757"/>
      <c r="EV35" s="757"/>
      <c r="EW35" s="757"/>
      <c r="EX35" s="757"/>
      <c r="EY35" s="757"/>
      <c r="EZ35" s="757"/>
      <c r="FA35" s="757"/>
      <c r="FB35" s="757"/>
      <c r="FC35" s="757"/>
      <c r="FD35" s="757"/>
      <c r="FE35" s="757"/>
    </row>
    <row r="36" spans="1:5" ht="19.5" thickBot="1">
      <c r="A36" s="301">
        <v>3</v>
      </c>
      <c r="B36" s="305" t="s">
        <v>511</v>
      </c>
      <c r="C36" s="136">
        <v>258</v>
      </c>
      <c r="D36" s="305">
        <v>10</v>
      </c>
      <c r="E36" s="6">
        <f>C36*D36*8*9</f>
        <v>185760</v>
      </c>
    </row>
    <row r="37" spans="1:5" ht="19.5" thickBot="1">
      <c r="A37" s="301">
        <v>4</v>
      </c>
      <c r="B37" s="305" t="s">
        <v>512</v>
      </c>
      <c r="C37" s="136">
        <v>258</v>
      </c>
      <c r="D37" s="305">
        <v>10</v>
      </c>
      <c r="E37" s="6">
        <f>C37*D37*8*9</f>
        <v>185760</v>
      </c>
    </row>
    <row r="38" spans="1:77" ht="19.5" thickBot="1">
      <c r="A38" s="301"/>
      <c r="B38" s="303" t="s">
        <v>307</v>
      </c>
      <c r="C38" s="5" t="s">
        <v>313</v>
      </c>
      <c r="D38" s="5" t="s">
        <v>313</v>
      </c>
      <c r="E38" s="9">
        <f>E37+E36+E35+E34</f>
        <v>827280</v>
      </c>
      <c r="J38" s="31">
        <v>130</v>
      </c>
      <c r="K38" s="31">
        <v>2864410.76</v>
      </c>
      <c r="L38" s="34">
        <f>K38-E38-H54</f>
        <v>-1304444.2800000003</v>
      </c>
      <c r="BY38" s="31" t="s">
        <v>582</v>
      </c>
    </row>
    <row r="39" spans="10:11" ht="15">
      <c r="J39" s="31">
        <v>150</v>
      </c>
      <c r="K39" s="31">
        <v>150</v>
      </c>
    </row>
    <row r="40" spans="1:9" s="1" customFormat="1" ht="20.25">
      <c r="A40" s="739" t="s">
        <v>588</v>
      </c>
      <c r="B40" s="739"/>
      <c r="C40" s="739"/>
      <c r="D40" s="739"/>
      <c r="E40" s="739"/>
      <c r="F40" s="739"/>
      <c r="G40" s="739"/>
      <c r="H40" s="739"/>
      <c r="I40" s="739"/>
    </row>
    <row r="41" spans="1:9" s="1" customFormat="1" ht="19.5" customHeight="1" thickBot="1">
      <c r="A41" s="720"/>
      <c r="B41" s="720"/>
      <c r="C41" s="720"/>
      <c r="D41" s="720"/>
      <c r="E41" s="720"/>
      <c r="F41" s="720"/>
      <c r="G41" s="720"/>
      <c r="H41" s="720"/>
      <c r="I41" s="720"/>
    </row>
    <row r="42" spans="1:9" s="1" customFormat="1" ht="62.25" customHeight="1" thickBot="1">
      <c r="A42" s="294" t="s">
        <v>292</v>
      </c>
      <c r="B42" s="743" t="s">
        <v>589</v>
      </c>
      <c r="C42" s="744"/>
      <c r="D42" s="745"/>
      <c r="E42" s="296" t="s">
        <v>590</v>
      </c>
      <c r="I42" s="12"/>
    </row>
    <row r="43" spans="1:5" s="1" customFormat="1" ht="19.5" thickBot="1">
      <c r="A43" s="184">
        <v>1</v>
      </c>
      <c r="B43" s="743">
        <v>2</v>
      </c>
      <c r="C43" s="744"/>
      <c r="D43" s="745"/>
      <c r="E43" s="298">
        <v>3</v>
      </c>
    </row>
    <row r="44" spans="1:10" s="1" customFormat="1" ht="49.5" customHeight="1" thickBot="1">
      <c r="A44" s="4" t="s">
        <v>591</v>
      </c>
      <c r="B44" s="706" t="s">
        <v>592</v>
      </c>
      <c r="C44" s="707"/>
      <c r="D44" s="708"/>
      <c r="E44" s="162">
        <f>'стр.1_4'!DF36</f>
        <v>96342672.2</v>
      </c>
      <c r="J44" s="163"/>
    </row>
    <row r="45" spans="1:10" s="1" customFormat="1" ht="21">
      <c r="A45" s="297"/>
      <c r="B45" s="297"/>
      <c r="C45" s="297"/>
      <c r="D45" s="297"/>
      <c r="E45" s="185"/>
      <c r="J45" s="163"/>
    </row>
    <row r="46" s="1" customFormat="1" ht="18.75">
      <c r="A46" s="183" t="s">
        <v>593</v>
      </c>
    </row>
    <row r="47" ht="15.75" thickBot="1"/>
    <row r="48" spans="1:8" ht="19.5" thickBot="1">
      <c r="A48" s="709" t="s">
        <v>292</v>
      </c>
      <c r="B48" s="709" t="s">
        <v>415</v>
      </c>
      <c r="C48" s="706" t="s">
        <v>430</v>
      </c>
      <c r="D48" s="708"/>
      <c r="E48" s="706" t="s">
        <v>431</v>
      </c>
      <c r="F48" s="708"/>
      <c r="G48" s="753" t="s">
        <v>432</v>
      </c>
      <c r="H48" s="709" t="s">
        <v>433</v>
      </c>
    </row>
    <row r="49" spans="1:8" ht="41.25" customHeight="1" thickBot="1">
      <c r="A49" s="711"/>
      <c r="B49" s="711"/>
      <c r="C49" s="305" t="s">
        <v>434</v>
      </c>
      <c r="D49" s="305" t="s">
        <v>435</v>
      </c>
      <c r="E49" s="301" t="s">
        <v>434</v>
      </c>
      <c r="F49" s="13" t="s">
        <v>436</v>
      </c>
      <c r="G49" s="754"/>
      <c r="H49" s="711"/>
    </row>
    <row r="50" spans="1:8" ht="20.25" customHeight="1" thickBot="1">
      <c r="A50" s="301"/>
      <c r="B50" s="305">
        <v>1</v>
      </c>
      <c r="C50" s="305">
        <v>2</v>
      </c>
      <c r="D50" s="305">
        <v>3</v>
      </c>
      <c r="E50" s="301">
        <v>4</v>
      </c>
      <c r="F50" s="35">
        <v>5</v>
      </c>
      <c r="G50" s="36">
        <v>6</v>
      </c>
      <c r="H50" s="35">
        <v>7</v>
      </c>
    </row>
    <row r="51" spans="1:8" ht="19.5" thickBot="1">
      <c r="A51" s="15" t="s">
        <v>11</v>
      </c>
      <c r="B51" s="10" t="s">
        <v>561</v>
      </c>
      <c r="C51" s="20">
        <v>75</v>
      </c>
      <c r="D51" s="16" t="s">
        <v>668</v>
      </c>
      <c r="E51" s="372">
        <v>80</v>
      </c>
      <c r="F51" s="372">
        <v>93</v>
      </c>
      <c r="G51" s="373">
        <v>150</v>
      </c>
      <c r="H51" s="14">
        <f>((C51*E51)+(D51*F51))*150+200000+105327.56</f>
        <v>1554077.56</v>
      </c>
    </row>
    <row r="52" spans="1:8" ht="19.5" thickBot="1">
      <c r="A52" s="15" t="s">
        <v>12</v>
      </c>
      <c r="B52" s="10" t="s">
        <v>437</v>
      </c>
      <c r="C52" s="20">
        <v>45</v>
      </c>
      <c r="D52" s="16" t="s">
        <v>667</v>
      </c>
      <c r="E52" s="372">
        <v>129</v>
      </c>
      <c r="F52" s="372">
        <v>157</v>
      </c>
      <c r="G52" s="373">
        <v>150</v>
      </c>
      <c r="H52" s="14">
        <f>((C52*E52)+(D52*F52))*150-2.52+150000</f>
        <v>1491747.48</v>
      </c>
    </row>
    <row r="53" spans="1:11" ht="19.5" thickBot="1">
      <c r="A53" s="15" t="s">
        <v>13</v>
      </c>
      <c r="B53" s="10" t="s">
        <v>438</v>
      </c>
      <c r="C53" s="20">
        <v>15</v>
      </c>
      <c r="D53" s="16">
        <v>0</v>
      </c>
      <c r="E53" s="372">
        <v>87</v>
      </c>
      <c r="F53" s="372">
        <v>96</v>
      </c>
      <c r="G53" s="373">
        <v>150</v>
      </c>
      <c r="H53" s="14">
        <f>((C53*E53)+(D53*F53))*150+481.31+100000</f>
        <v>296231.31</v>
      </c>
      <c r="J53" s="37"/>
      <c r="K53" s="38"/>
    </row>
    <row r="54" spans="1:33" ht="19.5" thickBot="1">
      <c r="A54" s="11"/>
      <c r="B54" s="303" t="s">
        <v>445</v>
      </c>
      <c r="C54" s="5"/>
      <c r="D54" s="7"/>
      <c r="E54" s="17"/>
      <c r="F54" s="39"/>
      <c r="G54" s="39"/>
      <c r="H54" s="40">
        <f>H53+H52+H51-481.31</f>
        <v>3341575.04</v>
      </c>
      <c r="AF54" s="31">
        <f>3341575.04</f>
        <v>3341575.04</v>
      </c>
      <c r="AG54" s="34">
        <f>AF54-H54</f>
        <v>0</v>
      </c>
    </row>
    <row r="56" spans="1:9" s="1" customFormat="1" ht="18.75">
      <c r="A56" s="752" t="s">
        <v>522</v>
      </c>
      <c r="B56" s="752"/>
      <c r="C56" s="752"/>
      <c r="D56" s="752"/>
      <c r="E56" s="752"/>
      <c r="F56" s="752"/>
      <c r="G56" s="752"/>
      <c r="H56" s="752"/>
      <c r="I56" s="752"/>
    </row>
    <row r="57" spans="1:9" s="374" customFormat="1" ht="18.75">
      <c r="A57" s="752" t="s">
        <v>670</v>
      </c>
      <c r="B57" s="752"/>
      <c r="C57" s="752"/>
      <c r="D57" s="752"/>
      <c r="E57" s="752"/>
      <c r="F57" s="752"/>
      <c r="G57" s="752"/>
      <c r="H57" s="752"/>
      <c r="I57" s="752"/>
    </row>
    <row r="58" s="1" customFormat="1" ht="15.75" thickBot="1"/>
    <row r="59" spans="1:5" s="1" customFormat="1" ht="32.25" customHeight="1" thickBot="1">
      <c r="A59" s="4" t="s">
        <v>292</v>
      </c>
      <c r="B59" s="296" t="s">
        <v>524</v>
      </c>
      <c r="C59" s="296"/>
      <c r="D59" s="296"/>
      <c r="E59" s="296" t="s">
        <v>10</v>
      </c>
    </row>
    <row r="60" spans="1:5" s="1" customFormat="1" ht="19.5" thickBot="1">
      <c r="A60" s="301">
        <v>1</v>
      </c>
      <c r="B60" s="305">
        <v>2</v>
      </c>
      <c r="C60" s="305">
        <v>3</v>
      </c>
      <c r="D60" s="305">
        <v>4</v>
      </c>
      <c r="E60" s="305">
        <v>5</v>
      </c>
    </row>
    <row r="61" spans="1:5" s="1" customFormat="1" ht="37.5" customHeight="1" thickBot="1">
      <c r="A61" s="301">
        <v>1</v>
      </c>
      <c r="B61" s="305" t="s">
        <v>669</v>
      </c>
      <c r="C61" s="305"/>
      <c r="D61" s="305"/>
      <c r="E61" s="6">
        <v>8509.38</v>
      </c>
    </row>
    <row r="62" spans="1:5" s="1" customFormat="1" ht="19.5" thickBot="1">
      <c r="A62" s="301"/>
      <c r="B62" s="303" t="s">
        <v>307</v>
      </c>
      <c r="C62" s="5" t="s">
        <v>313</v>
      </c>
      <c r="D62" s="5" t="s">
        <v>313</v>
      </c>
      <c r="E62" s="9">
        <f>E61</f>
        <v>8509.38</v>
      </c>
    </row>
    <row r="63" spans="1:9" s="1" customFormat="1" ht="18.75" hidden="1">
      <c r="A63" s="752" t="s">
        <v>554</v>
      </c>
      <c r="B63" s="752"/>
      <c r="C63" s="752"/>
      <c r="D63" s="752"/>
      <c r="E63" s="752"/>
      <c r="F63" s="752"/>
      <c r="G63" s="752"/>
      <c r="H63" s="752"/>
      <c r="I63" s="752"/>
    </row>
    <row r="64" spans="1:9" s="1" customFormat="1" ht="18.75" hidden="1">
      <c r="A64" s="720" t="s">
        <v>523</v>
      </c>
      <c r="B64" s="720"/>
      <c r="C64" s="720"/>
      <c r="D64" s="720"/>
      <c r="E64" s="720"/>
      <c r="F64" s="720"/>
      <c r="G64" s="720"/>
      <c r="H64" s="720"/>
      <c r="I64" s="720"/>
    </row>
    <row r="65" s="1" customFormat="1" ht="15.75" hidden="1" thickBot="1"/>
    <row r="66" spans="1:5" s="1" customFormat="1" ht="128.25" customHeight="1" hidden="1" thickBot="1">
      <c r="A66" s="4" t="s">
        <v>292</v>
      </c>
      <c r="B66" s="296" t="s">
        <v>524</v>
      </c>
      <c r="C66" s="4" t="s">
        <v>555</v>
      </c>
      <c r="D66" s="297"/>
      <c r="E66" s="297"/>
    </row>
    <row r="67" spans="1:5" s="1" customFormat="1" ht="19.5" hidden="1" thickBot="1">
      <c r="A67" s="301">
        <v>1</v>
      </c>
      <c r="B67" s="305">
        <v>2</v>
      </c>
      <c r="C67" s="301">
        <v>3</v>
      </c>
      <c r="D67" s="297"/>
      <c r="E67" s="297"/>
    </row>
    <row r="68" spans="1:5" s="1" customFormat="1" ht="27" customHeight="1" hidden="1" thickBot="1">
      <c r="A68" s="301">
        <v>1</v>
      </c>
      <c r="B68" s="305" t="s">
        <v>556</v>
      </c>
      <c r="C68" s="90">
        <v>0</v>
      </c>
      <c r="D68" s="297"/>
      <c r="E68" s="91"/>
    </row>
    <row r="69" spans="1:5" s="1" customFormat="1" ht="27" customHeight="1" hidden="1" thickBot="1">
      <c r="A69" s="301"/>
      <c r="B69" s="305"/>
      <c r="C69" s="90">
        <v>0</v>
      </c>
      <c r="D69" s="297"/>
      <c r="E69" s="91"/>
    </row>
    <row r="70" spans="1:5" s="1" customFormat="1" ht="27" customHeight="1" hidden="1" thickBot="1">
      <c r="A70" s="301"/>
      <c r="B70" s="303" t="s">
        <v>307</v>
      </c>
      <c r="C70" s="92">
        <f>C68+C69</f>
        <v>0</v>
      </c>
      <c r="D70" s="300"/>
      <c r="E70" s="89"/>
    </row>
    <row r="71" spans="1:6" s="1" customFormat="1" ht="22.5">
      <c r="A71" s="293" t="s">
        <v>594</v>
      </c>
      <c r="B71" s="293"/>
      <c r="C71" s="293"/>
      <c r="D71" s="293"/>
      <c r="E71" s="293"/>
      <c r="F71" s="293"/>
    </row>
    <row r="72" spans="1:9" s="1" customFormat="1" ht="27.75" customHeight="1">
      <c r="A72" s="749" t="s">
        <v>595</v>
      </c>
      <c r="B72" s="750"/>
      <c r="C72" s="750"/>
      <c r="D72" s="750"/>
      <c r="E72" s="750"/>
      <c r="F72" s="750"/>
      <c r="G72" s="750"/>
      <c r="H72" s="750"/>
      <c r="I72" s="750"/>
    </row>
    <row r="73" spans="1:9" s="1" customFormat="1" ht="20.25">
      <c r="A73" s="739" t="s">
        <v>596</v>
      </c>
      <c r="B73" s="739"/>
      <c r="C73" s="739"/>
      <c r="D73" s="739"/>
      <c r="E73" s="739"/>
      <c r="F73" s="739"/>
      <c r="G73" s="739"/>
      <c r="H73" s="739"/>
      <c r="I73" s="739"/>
    </row>
    <row r="74" spans="1:5" s="1" customFormat="1" ht="19.5" thickBot="1">
      <c r="A74" s="297"/>
      <c r="B74" s="82"/>
      <c r="C74" s="300"/>
      <c r="D74" s="300"/>
      <c r="E74" s="89"/>
    </row>
    <row r="75" spans="1:9" s="1" customFormat="1" ht="62.25" customHeight="1" thickBot="1">
      <c r="A75" s="4" t="s">
        <v>292</v>
      </c>
      <c r="B75" s="743" t="s">
        <v>597</v>
      </c>
      <c r="C75" s="744"/>
      <c r="D75" s="745"/>
      <c r="E75" s="296" t="s">
        <v>10</v>
      </c>
      <c r="I75" s="12"/>
    </row>
    <row r="76" spans="1:5" s="1" customFormat="1" ht="19.5" thickBot="1">
      <c r="A76" s="301">
        <v>1</v>
      </c>
      <c r="B76" s="706">
        <v>2</v>
      </c>
      <c r="C76" s="707"/>
      <c r="D76" s="708"/>
      <c r="E76" s="298">
        <v>3</v>
      </c>
    </row>
    <row r="77" spans="1:10" s="1" customFormat="1" ht="19.5" customHeight="1" thickBot="1">
      <c r="A77" s="301">
        <v>1</v>
      </c>
      <c r="B77" s="746" t="s">
        <v>603</v>
      </c>
      <c r="C77" s="747"/>
      <c r="D77" s="748"/>
      <c r="E77" s="162">
        <f>976208+83272.63+21029.03-2118.29</f>
        <v>1078391.3699999999</v>
      </c>
      <c r="J77" s="163"/>
    </row>
    <row r="78" spans="1:5" s="1" customFormat="1" ht="19.5" customHeight="1" thickBot="1">
      <c r="A78" s="301">
        <v>2</v>
      </c>
      <c r="B78" s="706" t="s">
        <v>602</v>
      </c>
      <c r="C78" s="707"/>
      <c r="D78" s="708"/>
      <c r="E78" s="164">
        <f>826487.3</f>
        <v>826487.3</v>
      </c>
    </row>
    <row r="79" spans="1:6" s="1" customFormat="1" ht="19.5" customHeight="1" thickBot="1">
      <c r="A79" s="301">
        <v>3</v>
      </c>
      <c r="B79" s="706" t="s">
        <v>604</v>
      </c>
      <c r="C79" s="707"/>
      <c r="D79" s="708"/>
      <c r="E79" s="164">
        <v>5087621.62</v>
      </c>
      <c r="F79" s="63" t="s">
        <v>626</v>
      </c>
    </row>
    <row r="80" spans="1:5" s="1" customFormat="1" ht="19.5" customHeight="1" thickBot="1">
      <c r="A80" s="301">
        <v>4</v>
      </c>
      <c r="B80" s="706" t="s">
        <v>600</v>
      </c>
      <c r="C80" s="707"/>
      <c r="D80" s="708"/>
      <c r="E80" s="164">
        <v>1528669.33</v>
      </c>
    </row>
    <row r="81" spans="1:5" s="1" customFormat="1" ht="19.5" customHeight="1" thickBot="1">
      <c r="A81" s="301">
        <v>5</v>
      </c>
      <c r="B81" s="706" t="s">
        <v>601</v>
      </c>
      <c r="C81" s="707"/>
      <c r="D81" s="708"/>
      <c r="E81" s="164">
        <f>200000+190000</f>
        <v>390000</v>
      </c>
    </row>
    <row r="82" spans="1:5" s="1" customFormat="1" ht="19.5" customHeight="1" thickBot="1">
      <c r="A82" s="301">
        <v>6</v>
      </c>
      <c r="B82" s="706" t="s">
        <v>599</v>
      </c>
      <c r="C82" s="707"/>
      <c r="D82" s="708"/>
      <c r="E82" s="164">
        <f>4263200+269188.25+103549.34-7532.79</f>
        <v>4628404.8</v>
      </c>
    </row>
    <row r="83" spans="1:5" s="1" customFormat="1" ht="19.5" customHeight="1" thickBot="1">
      <c r="A83" s="301">
        <v>7</v>
      </c>
      <c r="B83" s="706" t="s">
        <v>598</v>
      </c>
      <c r="C83" s="707"/>
      <c r="D83" s="708"/>
      <c r="E83" s="164">
        <f>3289725-6728.8-127856.29</f>
        <v>3155139.91</v>
      </c>
    </row>
    <row r="84" spans="1:5" s="1" customFormat="1" ht="19.5" customHeight="1" thickBot="1">
      <c r="A84" s="301">
        <v>8</v>
      </c>
      <c r="B84" s="706" t="s">
        <v>611</v>
      </c>
      <c r="C84" s="707"/>
      <c r="D84" s="708"/>
      <c r="E84" s="164">
        <f>5951343.6-2498705.52-1811498.88+682005-10549.52</f>
        <v>2312594.6799999997</v>
      </c>
    </row>
    <row r="85" spans="1:5" s="1" customFormat="1" ht="19.5" customHeight="1" thickBot="1">
      <c r="A85" s="301">
        <v>9</v>
      </c>
      <c r="B85" s="706" t="s">
        <v>616</v>
      </c>
      <c r="C85" s="707"/>
      <c r="D85" s="708"/>
      <c r="E85" s="164">
        <f>1156345.89+76684.33+23158.67-13322.19-39302.83-59925</f>
        <v>1143638.8699999999</v>
      </c>
    </row>
    <row r="86" spans="1:5" s="1" customFormat="1" ht="19.5" customHeight="1" thickBot="1">
      <c r="A86" s="301">
        <v>10</v>
      </c>
      <c r="B86" s="706" t="s">
        <v>649</v>
      </c>
      <c r="C86" s="707"/>
      <c r="D86" s="708"/>
      <c r="E86" s="164">
        <v>106903.62</v>
      </c>
    </row>
    <row r="87" spans="1:33" s="1" customFormat="1" ht="33" customHeight="1" thickBot="1">
      <c r="A87" s="301"/>
      <c r="B87" s="740" t="s">
        <v>307</v>
      </c>
      <c r="C87" s="741"/>
      <c r="D87" s="742"/>
      <c r="E87" s="186">
        <f>SUM(E77:E86)</f>
        <v>20257851.500000004</v>
      </c>
      <c r="J87" s="12">
        <f>19522027.2-E87</f>
        <v>-735824.3000000045</v>
      </c>
      <c r="AF87" s="1">
        <v>20257851.5</v>
      </c>
      <c r="AG87" s="12">
        <f>E87-AF87</f>
        <v>0</v>
      </c>
    </row>
    <row r="88" spans="1:9" s="1" customFormat="1" ht="49.5" customHeight="1">
      <c r="A88" s="737" t="s">
        <v>607</v>
      </c>
      <c r="B88" s="738"/>
      <c r="C88" s="738"/>
      <c r="D88" s="738"/>
      <c r="E88" s="738"/>
      <c r="F88" s="738"/>
      <c r="G88" s="738"/>
      <c r="H88" s="738"/>
      <c r="I88" s="738"/>
    </row>
    <row r="89" spans="1:9" s="1" customFormat="1" ht="20.25">
      <c r="A89" s="739" t="s">
        <v>608</v>
      </c>
      <c r="B89" s="739"/>
      <c r="C89" s="739"/>
      <c r="D89" s="739"/>
      <c r="E89" s="739"/>
      <c r="F89" s="739"/>
      <c r="G89" s="739"/>
      <c r="H89" s="739"/>
      <c r="I89" s="739"/>
    </row>
    <row r="90" spans="1:10" s="54" customFormat="1" ht="23.25" customHeight="1" thickBot="1">
      <c r="A90" s="297"/>
      <c r="B90" s="82"/>
      <c r="C90" s="82"/>
      <c r="D90" s="82"/>
      <c r="E90" s="89"/>
      <c r="J90" s="187"/>
    </row>
    <row r="91" spans="1:5" s="1" customFormat="1" ht="93.75" customHeight="1" thickBot="1">
      <c r="A91" s="4" t="s">
        <v>292</v>
      </c>
      <c r="B91" s="296" t="s">
        <v>410</v>
      </c>
      <c r="C91" s="4" t="s">
        <v>413</v>
      </c>
      <c r="D91" s="297"/>
      <c r="E91" s="297"/>
    </row>
    <row r="92" spans="1:5" s="1" customFormat="1" ht="18" customHeight="1" thickBot="1">
      <c r="A92" s="301">
        <v>1</v>
      </c>
      <c r="B92" s="305">
        <v>2</v>
      </c>
      <c r="C92" s="301">
        <v>3</v>
      </c>
      <c r="D92" s="297"/>
      <c r="E92" s="297"/>
    </row>
    <row r="93" spans="1:10" s="1" customFormat="1" ht="38.25" thickBot="1">
      <c r="A93" s="301">
        <v>1</v>
      </c>
      <c r="B93" s="10" t="s">
        <v>609</v>
      </c>
      <c r="C93" s="302">
        <f>150+25750</f>
        <v>25900</v>
      </c>
      <c r="D93" s="297"/>
      <c r="E93" s="91"/>
      <c r="J93" s="12">
        <f>C93+H54+E38</f>
        <v>4194755.04</v>
      </c>
    </row>
    <row r="94" spans="1:9" s="88" customFormat="1" ht="18.75">
      <c r="A94" s="720"/>
      <c r="B94" s="720"/>
      <c r="C94" s="720"/>
      <c r="D94" s="720"/>
      <c r="E94" s="720"/>
      <c r="F94" s="720"/>
      <c r="G94" s="720"/>
      <c r="H94" s="720"/>
      <c r="I94" s="720"/>
    </row>
    <row r="95" spans="5:6" ht="15">
      <c r="E95" s="41"/>
      <c r="F95" s="41"/>
    </row>
    <row r="97" spans="7:8" ht="15">
      <c r="G97" s="34"/>
      <c r="H97" s="34"/>
    </row>
  </sheetData>
  <sheetProtection/>
  <mergeCells count="51">
    <mergeCell ref="DF34:DR34"/>
    <mergeCell ref="DS34:EE34"/>
    <mergeCell ref="EF34:ER34"/>
    <mergeCell ref="ES34:FE34"/>
    <mergeCell ref="ES35:FE35"/>
    <mergeCell ref="CV35:DE35"/>
    <mergeCell ref="DF35:DR35"/>
    <mergeCell ref="DS35:EE35"/>
    <mergeCell ref="EF35:ER35"/>
    <mergeCell ref="A11:I11"/>
    <mergeCell ref="A56:I56"/>
    <mergeCell ref="A94:I94"/>
    <mergeCell ref="A57:I57"/>
    <mergeCell ref="A48:A49"/>
    <mergeCell ref="B48:B49"/>
    <mergeCell ref="A63:I63"/>
    <mergeCell ref="A25:FE25"/>
    <mergeCell ref="CN34:CU35"/>
    <mergeCell ref="CV34:DE34"/>
    <mergeCell ref="A13:E13"/>
    <mergeCell ref="A14:I14"/>
    <mergeCell ref="A16:I16"/>
    <mergeCell ref="A28:I28"/>
    <mergeCell ref="A26:I26"/>
    <mergeCell ref="A64:I64"/>
    <mergeCell ref="C48:D48"/>
    <mergeCell ref="E48:F48"/>
    <mergeCell ref="G48:G49"/>
    <mergeCell ref="H48:H49"/>
    <mergeCell ref="A40:I40"/>
    <mergeCell ref="A41:I41"/>
    <mergeCell ref="B42:D42"/>
    <mergeCell ref="B43:D43"/>
    <mergeCell ref="B44:D44"/>
    <mergeCell ref="A72:I72"/>
    <mergeCell ref="B85:D85"/>
    <mergeCell ref="A73:I73"/>
    <mergeCell ref="B75:D75"/>
    <mergeCell ref="B76:D76"/>
    <mergeCell ref="B77:D77"/>
    <mergeCell ref="B78:D78"/>
    <mergeCell ref="B86:D86"/>
    <mergeCell ref="A88:I88"/>
    <mergeCell ref="A89:I89"/>
    <mergeCell ref="B87:D87"/>
    <mergeCell ref="B79:D79"/>
    <mergeCell ref="B80:D80"/>
    <mergeCell ref="B81:D81"/>
    <mergeCell ref="B82:D82"/>
    <mergeCell ref="B83:D83"/>
    <mergeCell ref="B84:D84"/>
  </mergeCells>
  <printOptions horizontalCentered="1"/>
  <pageMargins left="0.31496062992125984" right="0" top="0" bottom="0" header="0" footer="0"/>
  <pageSetup horizontalDpi="600" verticalDpi="600" orientation="portrait" paperSize="9" scale="40"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T233"/>
  <sheetViews>
    <sheetView view="pageBreakPreview" zoomScale="60" zoomScaleNormal="68" zoomScalePageLayoutView="0" workbookViewId="0" topLeftCell="A167">
      <selection activeCell="A216" sqref="A216:IV228"/>
    </sheetView>
  </sheetViews>
  <sheetFormatPr defaultColWidth="9.00390625" defaultRowHeight="12.75"/>
  <cols>
    <col min="1" max="1" width="8.625" style="1" customWidth="1"/>
    <col min="2" max="2" width="68.00390625" style="1" customWidth="1"/>
    <col min="3" max="3" width="21.625" style="1" customWidth="1"/>
    <col min="4" max="4" width="25.625" style="1" customWidth="1"/>
    <col min="5" max="5" width="27.7539062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3.75390625" style="1" hidden="1" customWidth="1"/>
    <col min="12" max="12" width="34.00390625" style="1" hidden="1" customWidth="1"/>
    <col min="13" max="13" width="25.875" style="1" hidden="1" customWidth="1"/>
    <col min="14" max="14" width="18.75390625" style="1" hidden="1" customWidth="1"/>
    <col min="15" max="15" width="28.00390625" style="1" hidden="1" customWidth="1"/>
    <col min="16" max="16" width="36.125" style="1" hidden="1" customWidth="1"/>
    <col min="17" max="17" width="17.125" style="1" hidden="1" customWidth="1"/>
    <col min="18" max="18" width="16.25390625" style="1" hidden="1" customWidth="1"/>
    <col min="19" max="19" width="14.75390625" style="1" hidden="1" customWidth="1"/>
    <col min="20" max="20" width="14.625" style="1" hidden="1" customWidth="1"/>
    <col min="21" max="21" width="11.00390625" style="1" hidden="1" customWidth="1"/>
    <col min="22" max="22" width="14.625" style="1" hidden="1" customWidth="1"/>
    <col min="23" max="23" width="13.75390625" style="1" hidden="1" customWidth="1"/>
    <col min="24" max="24" width="14.625" style="1" hidden="1" customWidth="1"/>
    <col min="25" max="25" width="11.00390625" style="1" hidden="1" customWidth="1"/>
    <col min="26" max="26" width="14.625" style="1" bestFit="1" customWidth="1"/>
    <col min="27" max="27" width="24.375" style="1" bestFit="1" customWidth="1"/>
    <col min="28" max="16384" width="9.125" style="1" customWidth="1"/>
  </cols>
  <sheetData>
    <row r="1" spans="10:11" ht="18.75">
      <c r="J1" s="2" t="s">
        <v>282</v>
      </c>
      <c r="K1" s="2"/>
    </row>
    <row r="2" spans="10:11" ht="18.75">
      <c r="J2" s="2" t="s">
        <v>283</v>
      </c>
      <c r="K2" s="2"/>
    </row>
    <row r="3" spans="10:11" ht="16.5">
      <c r="J3" s="3" t="s">
        <v>284</v>
      </c>
      <c r="K3" s="3"/>
    </row>
    <row r="4" spans="10:11" ht="16.5">
      <c r="J4" s="3" t="s">
        <v>285</v>
      </c>
      <c r="K4" s="3"/>
    </row>
    <row r="5" spans="10:11" ht="16.5">
      <c r="J5" s="3" t="s">
        <v>286</v>
      </c>
      <c r="K5" s="3"/>
    </row>
    <row r="6" spans="10:11" ht="16.5">
      <c r="J6" s="3" t="s">
        <v>287</v>
      </c>
      <c r="K6" s="3"/>
    </row>
    <row r="7" spans="10:11" ht="16.5">
      <c r="J7" s="3" t="s">
        <v>288</v>
      </c>
      <c r="K7" s="3"/>
    </row>
    <row r="8" spans="10:11" ht="16.5">
      <c r="J8" s="3" t="s">
        <v>392</v>
      </c>
      <c r="K8" s="3"/>
    </row>
    <row r="9" ht="15"/>
    <row r="10" spans="1:13" ht="15" customHeight="1">
      <c r="A10" s="712" t="s">
        <v>536</v>
      </c>
      <c r="B10" s="712"/>
      <c r="C10" s="712"/>
      <c r="D10" s="712"/>
      <c r="E10" s="712"/>
      <c r="F10" s="712"/>
      <c r="G10" s="712"/>
      <c r="H10" s="712"/>
      <c r="I10" s="712"/>
      <c r="J10" s="712"/>
      <c r="K10" s="180"/>
      <c r="M10" s="44"/>
    </row>
    <row r="11" spans="1:13" ht="18.75">
      <c r="A11" s="712" t="s">
        <v>393</v>
      </c>
      <c r="B11" s="712"/>
      <c r="C11" s="712"/>
      <c r="D11" s="712"/>
      <c r="E11" s="712"/>
      <c r="F11" s="712"/>
      <c r="G11" s="712"/>
      <c r="H11" s="712"/>
      <c r="I11" s="712"/>
      <c r="J11" s="712"/>
      <c r="K11" s="180"/>
      <c r="M11" s="44"/>
    </row>
    <row r="12" spans="1:20" ht="18.75">
      <c r="A12" s="713" t="s">
        <v>289</v>
      </c>
      <c r="B12" s="713"/>
      <c r="C12" s="713"/>
      <c r="D12" s="713"/>
      <c r="E12" s="713"/>
      <c r="F12" s="713"/>
      <c r="G12" s="713"/>
      <c r="H12" s="713"/>
      <c r="I12" s="713"/>
      <c r="J12" s="713"/>
      <c r="K12" s="181"/>
      <c r="P12" s="1" t="s">
        <v>290</v>
      </c>
      <c r="T12" s="1">
        <v>306500</v>
      </c>
    </row>
    <row r="13" spans="1:13" ht="21" customHeight="1">
      <c r="A13" s="713" t="s">
        <v>291</v>
      </c>
      <c r="B13" s="713"/>
      <c r="C13" s="713"/>
      <c r="D13" s="713"/>
      <c r="E13" s="713"/>
      <c r="F13" s="713"/>
      <c r="G13" s="713"/>
      <c r="H13" s="713"/>
      <c r="I13" s="713"/>
      <c r="J13" s="713"/>
      <c r="K13" s="181"/>
      <c r="M13" s="44"/>
    </row>
    <row r="14" spans="1:11" ht="19.5" thickBot="1">
      <c r="A14" s="712" t="s">
        <v>394</v>
      </c>
      <c r="B14" s="712"/>
      <c r="C14" s="712"/>
      <c r="D14" s="712"/>
      <c r="E14" s="712"/>
      <c r="F14" s="712"/>
      <c r="G14" s="712"/>
      <c r="H14" s="712"/>
      <c r="I14" s="712"/>
      <c r="J14" s="712"/>
      <c r="K14" s="180"/>
    </row>
    <row r="15" spans="1:13" ht="36" customHeight="1" thickBot="1">
      <c r="A15" s="709" t="s">
        <v>292</v>
      </c>
      <c r="B15" s="709" t="s">
        <v>293</v>
      </c>
      <c r="C15" s="709" t="s">
        <v>294</v>
      </c>
      <c r="D15" s="706" t="s">
        <v>295</v>
      </c>
      <c r="E15" s="707"/>
      <c r="F15" s="707"/>
      <c r="G15" s="708"/>
      <c r="H15" s="709" t="s">
        <v>296</v>
      </c>
      <c r="I15" s="709" t="s">
        <v>297</v>
      </c>
      <c r="J15" s="709" t="s">
        <v>298</v>
      </c>
      <c r="K15" s="177"/>
      <c r="M15" s="44"/>
    </row>
    <row r="16" spans="1:11" ht="19.5" thickBot="1">
      <c r="A16" s="710"/>
      <c r="B16" s="710"/>
      <c r="C16" s="710"/>
      <c r="D16" s="709" t="s">
        <v>299</v>
      </c>
      <c r="E16" s="706" t="s">
        <v>50</v>
      </c>
      <c r="F16" s="707"/>
      <c r="G16" s="708"/>
      <c r="H16" s="710"/>
      <c r="I16" s="710"/>
      <c r="J16" s="710"/>
      <c r="K16" s="177"/>
    </row>
    <row r="17" spans="1:11" ht="66.75" customHeight="1" thickBot="1">
      <c r="A17" s="711"/>
      <c r="B17" s="711"/>
      <c r="C17" s="711"/>
      <c r="D17" s="711"/>
      <c r="E17" s="179" t="s">
        <v>300</v>
      </c>
      <c r="F17" s="179" t="s">
        <v>301</v>
      </c>
      <c r="G17" s="179" t="s">
        <v>302</v>
      </c>
      <c r="H17" s="711"/>
      <c r="I17" s="711"/>
      <c r="J17" s="711"/>
      <c r="K17" s="177"/>
    </row>
    <row r="18" spans="1:14" ht="19.5" thickBot="1">
      <c r="A18" s="174">
        <v>1</v>
      </c>
      <c r="B18" s="179">
        <v>2</v>
      </c>
      <c r="C18" s="179">
        <v>3</v>
      </c>
      <c r="D18" s="179">
        <v>4</v>
      </c>
      <c r="E18" s="179">
        <v>5</v>
      </c>
      <c r="F18" s="179">
        <v>6</v>
      </c>
      <c r="G18" s="179">
        <v>7</v>
      </c>
      <c r="H18" s="179">
        <v>8</v>
      </c>
      <c r="I18" s="179">
        <v>9</v>
      </c>
      <c r="J18" s="179">
        <v>10</v>
      </c>
      <c r="K18" s="177"/>
      <c r="M18" s="44"/>
      <c r="N18" s="177">
        <v>4.3</v>
      </c>
    </row>
    <row r="19" spans="1:16" ht="30.75" customHeight="1" thickBot="1">
      <c r="A19" s="174"/>
      <c r="B19" s="174" t="s">
        <v>303</v>
      </c>
      <c r="C19" s="188">
        <v>5</v>
      </c>
      <c r="D19" s="46">
        <f>E19+F19+G19</f>
        <v>42967.68569230769</v>
      </c>
      <c r="E19" s="46">
        <f>134791/C19</f>
        <v>26958.2</v>
      </c>
      <c r="F19" s="46"/>
      <c r="G19" s="46">
        <f>E19*L19+6429.657051-1971.61602535896+384.46153846+2339.63441025794-26362.016+21819.216-6216.25641025641-7371.79487179488</f>
        <v>16009.48569230769</v>
      </c>
      <c r="H19" s="46"/>
      <c r="I19" s="46">
        <v>1.6</v>
      </c>
      <c r="J19" s="46">
        <f>((D19*I19)+(D19))*C19*12</f>
        <v>6702958.968</v>
      </c>
      <c r="K19" s="47"/>
      <c r="L19" s="48">
        <v>1</v>
      </c>
      <c r="M19" s="44"/>
      <c r="N19" s="169">
        <f>8852958.968-1000000-1150000</f>
        <v>6702958.968</v>
      </c>
      <c r="O19" s="189">
        <f>N19-J19</f>
        <v>0</v>
      </c>
      <c r="P19" s="190">
        <f>O19/2.6/12/C19</f>
        <v>0</v>
      </c>
    </row>
    <row r="20" spans="1:16" ht="30" customHeight="1" thickBot="1">
      <c r="A20" s="174"/>
      <c r="B20" s="174" t="s">
        <v>304</v>
      </c>
      <c r="C20" s="188">
        <v>75.32</v>
      </c>
      <c r="D20" s="46">
        <f>E20+F20+G20</f>
        <v>17127.74282107027</v>
      </c>
      <c r="E20" s="46">
        <f>884721.76/C20</f>
        <v>11746.173127987255</v>
      </c>
      <c r="F20" s="46"/>
      <c r="G20" s="46">
        <f>E20*L20+E20*0.2+1188.072118-972.040778558494+120.82355256-230.16187703+142.17623642-142.176236424555+572.238911145142-128.209079988097-441.599366923149-440.35954743813+457.023577832373+139.2003176325+337.342734688238+0.008862514045+198.151279569977-0.0000000002-337.351597202282+268.859429892195-173.333492858585+332.876027608505-159.542534749918+529.978340015669-33.4152229631267-30.1582490508231-4.50658839294755-1933.62700631218+852.541083954833-1.19002799744869-98.9863712782281+1412.13882096978-164.568502386494+851.069624303828-1702.13924860765+851.069624303825+425.534812151913+223.337946130701+425.534812151906</f>
        <v>5381.569693083015</v>
      </c>
      <c r="H20" s="170"/>
      <c r="I20" s="46">
        <v>1.6</v>
      </c>
      <c r="J20" s="46">
        <f>((D20*I20)+(D20))*C20*12</f>
        <v>40249921.58563</v>
      </c>
      <c r="K20" s="47"/>
      <c r="L20" s="48">
        <v>0.0594</v>
      </c>
      <c r="M20" s="44"/>
      <c r="N20" s="169">
        <f>29551046.40563+447167.2+606734-391161+751200-360039+1196000-75408-68058-10170+2000000-2791.72-232214.9+3312776+1000000-2000000+2000000+1000000+524840.6+1000000</f>
        <v>40249921.58563</v>
      </c>
      <c r="O20" s="189">
        <f>N20-J20</f>
        <v>0</v>
      </c>
      <c r="P20" s="191">
        <f>O20/2.6/12/C20</f>
        <v>0</v>
      </c>
    </row>
    <row r="21" spans="1:16" ht="31.5" customHeight="1" thickBot="1">
      <c r="A21" s="184"/>
      <c r="B21" s="174" t="s">
        <v>305</v>
      </c>
      <c r="C21" s="188">
        <v>6.5</v>
      </c>
      <c r="D21" s="46">
        <f>E21+F21+G21</f>
        <v>10253.795564497035</v>
      </c>
      <c r="E21" s="46">
        <f>41668/C21</f>
        <v>6410.461538461538</v>
      </c>
      <c r="F21" s="46"/>
      <c r="G21" s="46">
        <f>E21*L21+9149.184149-535.599999815849+991.1761655+737.117975350816-2909.65819846692-2465.48323471401-331.399999999997-305.699999999997+2565.24223821499-2509.20044378699-2465.48308678501</f>
        <v>3843.3340260354976</v>
      </c>
      <c r="H21" s="46"/>
      <c r="I21" s="46">
        <v>1.6</v>
      </c>
      <c r="J21" s="46">
        <f>((D21*I21)+(D21))*C21*12</f>
        <v>2079469.740479999</v>
      </c>
      <c r="K21" s="47"/>
      <c r="L21" s="192">
        <v>0.3</v>
      </c>
      <c r="M21" s="44"/>
      <c r="N21" s="169">
        <f>2568104.43457+520231.12591-508865.85-499999.97</f>
        <v>2079469.74048</v>
      </c>
      <c r="O21" s="189">
        <f>N21-J21</f>
        <v>0</v>
      </c>
      <c r="P21" s="191">
        <f>O21/2.6/12/C21</f>
        <v>0</v>
      </c>
    </row>
    <row r="22" spans="1:20" ht="26.25" customHeight="1" thickBot="1">
      <c r="A22" s="175"/>
      <c r="B22" s="4" t="s">
        <v>306</v>
      </c>
      <c r="C22" s="188">
        <v>31.5</v>
      </c>
      <c r="D22" s="193">
        <f>E22+F22+G22</f>
        <v>6182.092293335369</v>
      </c>
      <c r="E22" s="194">
        <f>122673/C22</f>
        <v>3894.3809523809523</v>
      </c>
      <c r="F22" s="195"/>
      <c r="G22" s="196">
        <f>E22*L22+2712.4505637-451.100000039523+295.546215616709-453.682736516355-457.810468092028+534.188034188033-551.444044866198-508.750508750508</f>
        <v>2287.7113409544163</v>
      </c>
      <c r="H22" s="176"/>
      <c r="I22" s="193">
        <v>1.6</v>
      </c>
      <c r="J22" s="193">
        <f>((D22*I22)+(D22))*C22*12</f>
        <v>6075760.30589</v>
      </c>
      <c r="K22" s="47" t="s">
        <v>426</v>
      </c>
      <c r="L22" s="192">
        <v>0.3</v>
      </c>
      <c r="M22" s="44"/>
      <c r="N22" s="169">
        <f>6075760.30589+500000-500000</f>
        <v>6075760.30589</v>
      </c>
      <c r="O22" s="189">
        <f>N22-J22</f>
        <v>0</v>
      </c>
      <c r="P22" s="190">
        <f>O22/2.6/12/C22</f>
        <v>0</v>
      </c>
      <c r="S22" s="44"/>
      <c r="T22" s="172"/>
    </row>
    <row r="23" spans="1:16" ht="26.25" customHeight="1" thickBot="1">
      <c r="A23" s="717" t="s">
        <v>307</v>
      </c>
      <c r="B23" s="718"/>
      <c r="C23" s="171">
        <f>SUM(C19:C22)</f>
        <v>118.32</v>
      </c>
      <c r="D23" s="171">
        <f aca="true" t="shared" si="0" ref="D23:I23">SUM(D19:D22)</f>
        <v>76531.31637121037</v>
      </c>
      <c r="E23" s="171">
        <f>SUM(E19:E22)</f>
        <v>49009.21561882975</v>
      </c>
      <c r="F23" s="171">
        <f t="shared" si="0"/>
        <v>0</v>
      </c>
      <c r="G23" s="171">
        <f t="shared" si="0"/>
        <v>27522.10075238062</v>
      </c>
      <c r="H23" s="171">
        <f t="shared" si="0"/>
        <v>0</v>
      </c>
      <c r="I23" s="171">
        <f t="shared" si="0"/>
        <v>6.4</v>
      </c>
      <c r="J23" s="197">
        <f>SUM(J19:J22)</f>
        <v>55108110.6</v>
      </c>
      <c r="K23" s="198">
        <v>749770</v>
      </c>
      <c r="M23" s="44"/>
      <c r="N23" s="199">
        <f>N19+N20+N21+N22</f>
        <v>55108110.6</v>
      </c>
      <c r="O23" s="189"/>
      <c r="P23" s="190"/>
    </row>
    <row r="24" spans="1:19" s="94" customFormat="1" ht="24" customHeight="1" thickBot="1">
      <c r="A24" s="758" t="s">
        <v>441</v>
      </c>
      <c r="B24" s="759"/>
      <c r="C24" s="759"/>
      <c r="D24" s="759"/>
      <c r="E24" s="759"/>
      <c r="F24" s="759"/>
      <c r="G24" s="759"/>
      <c r="H24" s="759"/>
      <c r="I24" s="759"/>
      <c r="J24" s="760"/>
      <c r="K24" s="237"/>
      <c r="L24" s="238"/>
      <c r="M24" s="239"/>
      <c r="N24" s="240"/>
      <c r="O24" s="238"/>
      <c r="P24" s="238"/>
      <c r="Q24" s="238"/>
      <c r="R24" s="238"/>
      <c r="S24" s="238"/>
    </row>
    <row r="25" spans="1:19" s="94" customFormat="1" ht="30" customHeight="1" thickBot="1">
      <c r="A25" s="258"/>
      <c r="B25" s="258" t="s">
        <v>618</v>
      </c>
      <c r="C25" s="231"/>
      <c r="D25" s="229"/>
      <c r="E25" s="229"/>
      <c r="F25" s="229"/>
      <c r="G25" s="229"/>
      <c r="H25" s="232"/>
      <c r="I25" s="229"/>
      <c r="J25" s="241">
        <v>749770</v>
      </c>
      <c r="K25" s="242"/>
      <c r="L25" s="240"/>
      <c r="M25" s="243"/>
      <c r="N25" s="244"/>
      <c r="O25" s="243"/>
      <c r="P25" s="244"/>
      <c r="Q25" s="238"/>
      <c r="R25" s="238"/>
      <c r="S25" s="238"/>
    </row>
    <row r="26" spans="1:19" s="94" customFormat="1" ht="30" customHeight="1" hidden="1" thickBot="1">
      <c r="A26" s="258"/>
      <c r="B26" s="258" t="s">
        <v>619</v>
      </c>
      <c r="C26" s="231"/>
      <c r="D26" s="229"/>
      <c r="E26" s="229"/>
      <c r="F26" s="229"/>
      <c r="G26" s="229"/>
      <c r="H26" s="232"/>
      <c r="I26" s="229"/>
      <c r="J26" s="241"/>
      <c r="K26" s="242"/>
      <c r="L26" s="240"/>
      <c r="M26" s="243"/>
      <c r="N26" s="244"/>
      <c r="O26" s="243"/>
      <c r="P26" s="244"/>
      <c r="Q26" s="238"/>
      <c r="R26" s="238"/>
      <c r="S26" s="238"/>
    </row>
    <row r="27" spans="1:19" s="94" customFormat="1" ht="26.25" customHeight="1" thickBot="1">
      <c r="A27" s="761" t="s">
        <v>307</v>
      </c>
      <c r="B27" s="762"/>
      <c r="C27" s="234"/>
      <c r="D27" s="234"/>
      <c r="E27" s="234"/>
      <c r="F27" s="234"/>
      <c r="G27" s="234"/>
      <c r="H27" s="234"/>
      <c r="I27" s="234"/>
      <c r="J27" s="266">
        <f>SUM(J25:J26)</f>
        <v>749770</v>
      </c>
      <c r="K27" s="245"/>
      <c r="L27" s="238"/>
      <c r="M27" s="239"/>
      <c r="N27" s="240"/>
      <c r="O27" s="243"/>
      <c r="P27" s="244"/>
      <c r="Q27" s="238"/>
      <c r="R27" s="238"/>
      <c r="S27" s="238"/>
    </row>
    <row r="28" spans="11:14" s="94" customFormat="1" ht="18.75">
      <c r="K28" s="246"/>
      <c r="M28" s="247"/>
      <c r="N28" s="235"/>
    </row>
    <row r="29" spans="13:14" ht="15">
      <c r="M29" s="44"/>
      <c r="N29" s="200"/>
    </row>
    <row r="30" spans="1:14" ht="21.75" customHeight="1" hidden="1">
      <c r="A30" s="719" t="s">
        <v>395</v>
      </c>
      <c r="B30" s="719"/>
      <c r="C30" s="719"/>
      <c r="D30" s="719"/>
      <c r="E30" s="719"/>
      <c r="F30" s="719"/>
      <c r="G30" s="201"/>
      <c r="K30" s="1" t="s">
        <v>427</v>
      </c>
      <c r="L30" s="202">
        <f>47076356+723922+3588000</f>
        <v>51388278</v>
      </c>
      <c r="M30" s="49"/>
      <c r="N30" s="200"/>
    </row>
    <row r="31" spans="12:15" ht="15" hidden="1">
      <c r="L31" s="12">
        <f>L30-J23</f>
        <v>-3719832.6000000015</v>
      </c>
      <c r="M31" s="44"/>
      <c r="N31" s="200"/>
      <c r="O31" s="44"/>
    </row>
    <row r="32" spans="1:15" ht="123" customHeight="1" hidden="1" thickBot="1">
      <c r="A32" s="4" t="s">
        <v>292</v>
      </c>
      <c r="B32" s="176" t="s">
        <v>308</v>
      </c>
      <c r="C32" s="176" t="s">
        <v>309</v>
      </c>
      <c r="D32" s="176" t="s">
        <v>310</v>
      </c>
      <c r="E32" s="176" t="s">
        <v>311</v>
      </c>
      <c r="F32" s="176" t="s">
        <v>312</v>
      </c>
      <c r="L32" s="12"/>
      <c r="M32" s="44"/>
      <c r="N32" s="200"/>
      <c r="O32" s="203"/>
    </row>
    <row r="33" spans="1:15" ht="19.5" hidden="1" thickBot="1">
      <c r="A33" s="174">
        <v>1</v>
      </c>
      <c r="B33" s="179">
        <v>2</v>
      </c>
      <c r="C33" s="179">
        <v>3</v>
      </c>
      <c r="D33" s="179">
        <v>4</v>
      </c>
      <c r="E33" s="179">
        <v>5</v>
      </c>
      <c r="F33" s="179">
        <v>6</v>
      </c>
      <c r="J33" s="44"/>
      <c r="K33" s="44"/>
      <c r="N33" s="200"/>
      <c r="O33" s="44"/>
    </row>
    <row r="34" spans="1:14" ht="19.5" hidden="1" thickBot="1">
      <c r="A34" s="174">
        <v>1</v>
      </c>
      <c r="B34" s="179"/>
      <c r="C34" s="50">
        <v>0</v>
      </c>
      <c r="D34" s="50">
        <v>0</v>
      </c>
      <c r="E34" s="50">
        <v>0</v>
      </c>
      <c r="F34" s="50">
        <f>C34*D34*E34</f>
        <v>0</v>
      </c>
      <c r="N34" s="200"/>
    </row>
    <row r="35" spans="1:14" ht="19.5" hidden="1" thickBot="1">
      <c r="A35" s="174"/>
      <c r="B35" s="173" t="s">
        <v>307</v>
      </c>
      <c r="C35" s="5" t="s">
        <v>313</v>
      </c>
      <c r="D35" s="5" t="s">
        <v>313</v>
      </c>
      <c r="E35" s="5" t="s">
        <v>313</v>
      </c>
      <c r="F35" s="204">
        <f>F34</f>
        <v>0</v>
      </c>
      <c r="M35" s="205"/>
      <c r="N35" s="200"/>
    </row>
    <row r="36" spans="11:14" ht="18.75">
      <c r="K36" s="206">
        <v>55108110.6</v>
      </c>
      <c r="L36" s="1" t="s">
        <v>545</v>
      </c>
      <c r="M36" s="30"/>
      <c r="N36" s="200"/>
    </row>
    <row r="37" spans="1:11" ht="19.5" thickBot="1">
      <c r="A37" s="719" t="s">
        <v>396</v>
      </c>
      <c r="B37" s="719"/>
      <c r="C37" s="719"/>
      <c r="D37" s="719"/>
      <c r="E37" s="719"/>
      <c r="F37" s="719"/>
      <c r="K37" s="12">
        <f>K36-J23</f>
        <v>0</v>
      </c>
    </row>
    <row r="38" spans="1:15" ht="88.5" customHeight="1" thickBot="1">
      <c r="A38" s="4" t="s">
        <v>292</v>
      </c>
      <c r="B38" s="176" t="s">
        <v>308</v>
      </c>
      <c r="C38" s="176" t="s">
        <v>314</v>
      </c>
      <c r="D38" s="176" t="s">
        <v>315</v>
      </c>
      <c r="E38" s="176" t="s">
        <v>316</v>
      </c>
      <c r="F38" s="176" t="s">
        <v>312</v>
      </c>
      <c r="K38" s="12"/>
      <c r="M38" s="51"/>
      <c r="N38" s="44"/>
      <c r="O38" s="52"/>
    </row>
    <row r="39" spans="1:6" ht="19.5" thickBot="1">
      <c r="A39" s="174">
        <v>1</v>
      </c>
      <c r="B39" s="179">
        <v>2</v>
      </c>
      <c r="C39" s="179">
        <v>3</v>
      </c>
      <c r="D39" s="179">
        <v>4</v>
      </c>
      <c r="E39" s="179">
        <v>5</v>
      </c>
      <c r="F39" s="179">
        <v>6</v>
      </c>
    </row>
    <row r="40" spans="1:17" ht="30.75" customHeight="1" hidden="1" thickBot="1">
      <c r="A40" s="174">
        <v>1</v>
      </c>
      <c r="B40" s="179" t="s">
        <v>317</v>
      </c>
      <c r="C40" s="84">
        <v>6</v>
      </c>
      <c r="D40" s="179">
        <v>12</v>
      </c>
      <c r="E40" s="50">
        <v>90</v>
      </c>
      <c r="F40" s="6"/>
      <c r="M40" s="12"/>
      <c r="O40" s="44"/>
      <c r="Q40" s="53"/>
    </row>
    <row r="41" spans="1:6" ht="38.25" customHeight="1" hidden="1" thickBot="1">
      <c r="A41" s="174">
        <v>2</v>
      </c>
      <c r="B41" s="179" t="s">
        <v>318</v>
      </c>
      <c r="C41" s="179">
        <v>0</v>
      </c>
      <c r="D41" s="179">
        <v>1</v>
      </c>
      <c r="E41" s="50">
        <v>0</v>
      </c>
      <c r="F41" s="6"/>
    </row>
    <row r="42" spans="1:6" ht="38.25" customHeight="1" thickBot="1">
      <c r="A42" s="174">
        <v>1</v>
      </c>
      <c r="B42" s="179" t="s">
        <v>429</v>
      </c>
      <c r="C42" s="179"/>
      <c r="D42" s="179"/>
      <c r="E42" s="50"/>
      <c r="F42" s="6">
        <v>1325000</v>
      </c>
    </row>
    <row r="43" spans="1:6" ht="19.5" thickBot="1">
      <c r="A43" s="174"/>
      <c r="B43" s="173" t="s">
        <v>307</v>
      </c>
      <c r="C43" s="5" t="s">
        <v>313</v>
      </c>
      <c r="D43" s="5" t="s">
        <v>313</v>
      </c>
      <c r="E43" s="5" t="s">
        <v>313</v>
      </c>
      <c r="F43" s="7">
        <f>F42+F41+F40</f>
        <v>1325000</v>
      </c>
    </row>
    <row r="44" spans="1:12" ht="18.75" hidden="1">
      <c r="A44" s="719" t="s">
        <v>528</v>
      </c>
      <c r="B44" s="719"/>
      <c r="C44" s="719"/>
      <c r="D44" s="719"/>
      <c r="E44" s="719"/>
      <c r="F44" s="719"/>
      <c r="L44" s="80"/>
    </row>
    <row r="45" spans="1:18" ht="66.75" customHeight="1" hidden="1" thickBot="1">
      <c r="A45" s="4" t="s">
        <v>292</v>
      </c>
      <c r="B45" s="176" t="s">
        <v>308</v>
      </c>
      <c r="C45" s="176" t="s">
        <v>314</v>
      </c>
      <c r="D45" s="176" t="s">
        <v>315</v>
      </c>
      <c r="E45" s="176" t="s">
        <v>316</v>
      </c>
      <c r="F45" s="176" t="s">
        <v>312</v>
      </c>
      <c r="L45" s="80"/>
      <c r="P45" s="51"/>
      <c r="Q45" s="44"/>
      <c r="R45" s="52"/>
    </row>
    <row r="46" spans="1:12" ht="19.5" hidden="1" thickBot="1">
      <c r="A46" s="174">
        <v>1</v>
      </c>
      <c r="B46" s="179">
        <v>2</v>
      </c>
      <c r="C46" s="179">
        <v>3</v>
      </c>
      <c r="D46" s="179">
        <v>4</v>
      </c>
      <c r="E46" s="179">
        <v>5</v>
      </c>
      <c r="F46" s="179">
        <v>6</v>
      </c>
      <c r="L46" s="80"/>
    </row>
    <row r="47" spans="1:19" ht="67.5" customHeight="1" hidden="1" thickBot="1">
      <c r="A47" s="174">
        <v>1</v>
      </c>
      <c r="B47" s="10" t="s">
        <v>529</v>
      </c>
      <c r="C47" s="179"/>
      <c r="D47" s="179"/>
      <c r="E47" s="50"/>
      <c r="F47" s="6"/>
      <c r="K47" s="182">
        <f>2160</f>
        <v>2160</v>
      </c>
      <c r="L47" s="81">
        <f>K47-F47</f>
        <v>2160</v>
      </c>
      <c r="O47" s="12" t="e">
        <f>J36-#REF!</f>
        <v>#REF!</v>
      </c>
      <c r="Q47" s="44"/>
      <c r="S47" s="53"/>
    </row>
    <row r="48" spans="1:12" ht="19.5" hidden="1" thickBot="1">
      <c r="A48" s="174"/>
      <c r="B48" s="173" t="s">
        <v>307</v>
      </c>
      <c r="C48" s="5" t="s">
        <v>313</v>
      </c>
      <c r="D48" s="5" t="s">
        <v>313</v>
      </c>
      <c r="E48" s="5" t="s">
        <v>313</v>
      </c>
      <c r="F48" s="7">
        <f>F47</f>
        <v>0</v>
      </c>
      <c r="K48" s="12" t="e">
        <f>4320-#REF!-F47</f>
        <v>#REF!</v>
      </c>
      <c r="L48" s="80"/>
    </row>
    <row r="49" spans="1:7" ht="48" customHeight="1" thickBot="1">
      <c r="A49" s="726" t="s">
        <v>542</v>
      </c>
      <c r="B49" s="726"/>
      <c r="C49" s="726"/>
      <c r="D49" s="726"/>
      <c r="E49" s="726"/>
      <c r="F49" s="726"/>
      <c r="G49" s="54"/>
    </row>
    <row r="50" spans="1:4" ht="78" customHeight="1" thickBot="1">
      <c r="A50" s="4" t="s">
        <v>292</v>
      </c>
      <c r="B50" s="176" t="s">
        <v>319</v>
      </c>
      <c r="C50" s="176" t="s">
        <v>320</v>
      </c>
      <c r="D50" s="176" t="s">
        <v>321</v>
      </c>
    </row>
    <row r="51" spans="1:4" ht="19.5" thickBot="1">
      <c r="A51" s="174">
        <v>1</v>
      </c>
      <c r="B51" s="179">
        <v>2</v>
      </c>
      <c r="C51" s="179">
        <v>3</v>
      </c>
      <c r="D51" s="179">
        <v>4</v>
      </c>
    </row>
    <row r="52" spans="1:12" ht="45" customHeight="1" thickBot="1">
      <c r="A52" s="174">
        <v>1</v>
      </c>
      <c r="B52" s="55" t="s">
        <v>322</v>
      </c>
      <c r="C52" s="179" t="s">
        <v>313</v>
      </c>
      <c r="D52" s="46">
        <f>D53+D55</f>
        <v>9921035.0108</v>
      </c>
      <c r="K52" s="56"/>
      <c r="L52" s="44"/>
    </row>
    <row r="53" spans="1:11" ht="18.75">
      <c r="A53" s="709" t="s">
        <v>323</v>
      </c>
      <c r="B53" s="57" t="s">
        <v>50</v>
      </c>
      <c r="C53" s="709"/>
      <c r="D53" s="721">
        <f>14677559.69+841699.31+424+80000+656801.68+965930.5+34293.5-2179852.68-636955.92-D56-D57</f>
        <v>9921035.0108</v>
      </c>
      <c r="K53" s="56"/>
    </row>
    <row r="54" spans="1:11" ht="24" thickBot="1">
      <c r="A54" s="711"/>
      <c r="B54" s="58" t="s">
        <v>324</v>
      </c>
      <c r="C54" s="711"/>
      <c r="D54" s="722"/>
      <c r="K54" s="87"/>
    </row>
    <row r="55" spans="1:11" ht="19.5" thickBot="1">
      <c r="A55" s="174" t="s">
        <v>325</v>
      </c>
      <c r="B55" s="60" t="s">
        <v>326</v>
      </c>
      <c r="C55" s="179"/>
      <c r="D55" s="46"/>
      <c r="K55" s="59"/>
    </row>
    <row r="56" spans="1:11" ht="38.25" customHeight="1" thickBot="1">
      <c r="A56" s="174">
        <v>2</v>
      </c>
      <c r="B56" s="55" t="s">
        <v>327</v>
      </c>
      <c r="C56" s="179" t="s">
        <v>313</v>
      </c>
      <c r="D56" s="46">
        <f>C57*3.1%</f>
        <v>1708351.4286</v>
      </c>
      <c r="K56" s="61"/>
    </row>
    <row r="57" spans="1:12" ht="42.75" customHeight="1" thickBot="1">
      <c r="A57" s="174">
        <v>3</v>
      </c>
      <c r="B57" s="55" t="s">
        <v>328</v>
      </c>
      <c r="C57" s="46">
        <f>J23</f>
        <v>55108110.6</v>
      </c>
      <c r="D57" s="46">
        <f>C57*5.1%</f>
        <v>2810513.6406</v>
      </c>
      <c r="K57" s="47">
        <v>14439900.08</v>
      </c>
      <c r="L57" s="44">
        <f>K57-D58</f>
        <v>0</v>
      </c>
    </row>
    <row r="58" spans="1:13" ht="20.25" customHeight="1" thickBot="1">
      <c r="A58" s="174"/>
      <c r="B58" s="173" t="s">
        <v>307</v>
      </c>
      <c r="C58" s="5" t="s">
        <v>313</v>
      </c>
      <c r="D58" s="85">
        <f>D53+D56+D57</f>
        <v>14439900.08</v>
      </c>
      <c r="K58" s="62"/>
      <c r="M58" s="44"/>
    </row>
    <row r="59" spans="1:6" ht="15.75" customHeight="1" hidden="1">
      <c r="A59" s="719" t="s">
        <v>397</v>
      </c>
      <c r="B59" s="719"/>
      <c r="C59" s="719"/>
      <c r="D59" s="719"/>
      <c r="E59" s="719"/>
      <c r="F59" s="719"/>
    </row>
    <row r="60" spans="1:12" ht="18.75" hidden="1">
      <c r="A60" s="720" t="s">
        <v>329</v>
      </c>
      <c r="B60" s="720"/>
      <c r="C60" s="720"/>
      <c r="D60" s="720"/>
      <c r="E60" s="720"/>
      <c r="F60" s="720"/>
      <c r="L60" s="44"/>
    </row>
    <row r="61" spans="1:6" ht="19.5" hidden="1" thickBot="1">
      <c r="A61" s="720" t="s">
        <v>330</v>
      </c>
      <c r="B61" s="720"/>
      <c r="C61" s="720"/>
      <c r="D61" s="720"/>
      <c r="E61" s="720"/>
      <c r="F61" s="720"/>
    </row>
    <row r="62" spans="1:5" ht="54.75" customHeight="1" hidden="1" thickBot="1">
      <c r="A62" s="4" t="s">
        <v>292</v>
      </c>
      <c r="B62" s="176" t="s">
        <v>0</v>
      </c>
      <c r="C62" s="176" t="s">
        <v>331</v>
      </c>
      <c r="D62" s="176" t="s">
        <v>332</v>
      </c>
      <c r="E62" s="176" t="s">
        <v>333</v>
      </c>
    </row>
    <row r="63" spans="1:5" ht="19.5" hidden="1" thickBot="1">
      <c r="A63" s="174">
        <v>1</v>
      </c>
      <c r="B63" s="179">
        <v>2</v>
      </c>
      <c r="C63" s="179">
        <v>3</v>
      </c>
      <c r="D63" s="179">
        <v>4</v>
      </c>
      <c r="E63" s="179">
        <v>5</v>
      </c>
    </row>
    <row r="64" spans="1:5" ht="38.25" hidden="1" thickBot="1">
      <c r="A64" s="174"/>
      <c r="B64" s="179" t="s">
        <v>334</v>
      </c>
      <c r="C64" s="6">
        <v>0</v>
      </c>
      <c r="D64" s="6">
        <v>0</v>
      </c>
      <c r="E64" s="6">
        <v>0</v>
      </c>
    </row>
    <row r="65" spans="1:5" ht="19.5" hidden="1" thickBot="1">
      <c r="A65" s="174"/>
      <c r="B65" s="173" t="s">
        <v>307</v>
      </c>
      <c r="C65" s="7" t="s">
        <v>313</v>
      </c>
      <c r="D65" s="7" t="s">
        <v>313</v>
      </c>
      <c r="E65" s="7">
        <f>E64</f>
        <v>0</v>
      </c>
    </row>
    <row r="66" spans="1:11" s="94" customFormat="1" ht="24.75" customHeight="1" thickBot="1">
      <c r="A66" s="763" t="s">
        <v>441</v>
      </c>
      <c r="B66" s="763"/>
      <c r="C66" s="763"/>
      <c r="D66" s="763"/>
      <c r="E66" s="256"/>
      <c r="F66" s="256"/>
      <c r="G66" s="248"/>
      <c r="K66" s="227">
        <f>14439900.08-D58</f>
        <v>0</v>
      </c>
    </row>
    <row r="67" spans="1:4" s="94" customFormat="1" ht="80.25" customHeight="1" thickBot="1">
      <c r="A67" s="97" t="s">
        <v>292</v>
      </c>
      <c r="B67" s="259" t="s">
        <v>319</v>
      </c>
      <c r="C67" s="259" t="s">
        <v>320</v>
      </c>
      <c r="D67" s="259" t="s">
        <v>321</v>
      </c>
    </row>
    <row r="68" spans="1:4" s="94" customFormat="1" ht="19.5" thickBot="1">
      <c r="A68" s="258">
        <v>1</v>
      </c>
      <c r="B68" s="228">
        <v>2</v>
      </c>
      <c r="C68" s="228">
        <v>3</v>
      </c>
      <c r="D68" s="228">
        <v>4</v>
      </c>
    </row>
    <row r="69" spans="1:4" s="94" customFormat="1" ht="45" customHeight="1" thickBot="1">
      <c r="A69" s="258">
        <v>1</v>
      </c>
      <c r="B69" s="249" t="s">
        <v>322</v>
      </c>
      <c r="C69" s="228" t="s">
        <v>313</v>
      </c>
      <c r="D69" s="229">
        <f>D70+D72</f>
        <v>164956.86000000002</v>
      </c>
    </row>
    <row r="70" spans="1:4" s="94" customFormat="1" ht="18.75">
      <c r="A70" s="764" t="s">
        <v>323</v>
      </c>
      <c r="B70" s="250" t="s">
        <v>50</v>
      </c>
      <c r="C70" s="764"/>
      <c r="D70" s="766">
        <f>(226438)-D73-D74</f>
        <v>164956.86000000002</v>
      </c>
    </row>
    <row r="71" spans="1:11" s="94" customFormat="1" ht="19.5" thickBot="1">
      <c r="A71" s="765"/>
      <c r="B71" s="251" t="s">
        <v>324</v>
      </c>
      <c r="C71" s="765"/>
      <c r="D71" s="767"/>
      <c r="K71" s="253" t="s">
        <v>428</v>
      </c>
    </row>
    <row r="72" spans="1:11" s="94" customFormat="1" ht="19.5" thickBot="1">
      <c r="A72" s="258" t="s">
        <v>325</v>
      </c>
      <c r="B72" s="252" t="s">
        <v>326</v>
      </c>
      <c r="C72" s="228"/>
      <c r="D72" s="229"/>
      <c r="K72" s="253"/>
    </row>
    <row r="73" spans="1:11" s="94" customFormat="1" ht="38.25" customHeight="1" thickBot="1">
      <c r="A73" s="258">
        <v>2</v>
      </c>
      <c r="B73" s="249" t="s">
        <v>327</v>
      </c>
      <c r="C73" s="228" t="s">
        <v>313</v>
      </c>
      <c r="D73" s="229">
        <f>C74*3.1%</f>
        <v>23242.87</v>
      </c>
      <c r="K73" s="257"/>
    </row>
    <row r="74" spans="1:12" s="94" customFormat="1" ht="42.75" customHeight="1" thickBot="1">
      <c r="A74" s="258">
        <v>3</v>
      </c>
      <c r="B74" s="249" t="s">
        <v>328</v>
      </c>
      <c r="C74" s="229">
        <f>J27</f>
        <v>749770</v>
      </c>
      <c r="D74" s="229">
        <f>C74*5.1%</f>
        <v>38238.27</v>
      </c>
      <c r="K74" s="230" t="s">
        <v>426</v>
      </c>
      <c r="L74" s="94" t="s">
        <v>620</v>
      </c>
    </row>
    <row r="75" spans="1:13" s="94" customFormat="1" ht="30.75" customHeight="1" thickBot="1">
      <c r="A75" s="258"/>
      <c r="B75" s="260" t="s">
        <v>307</v>
      </c>
      <c r="C75" s="236" t="s">
        <v>313</v>
      </c>
      <c r="D75" s="254">
        <f>D70+D73+D74</f>
        <v>226438</v>
      </c>
      <c r="K75" s="255">
        <v>226438</v>
      </c>
      <c r="L75" s="233">
        <v>0</v>
      </c>
      <c r="M75" s="227"/>
    </row>
    <row r="76" spans="1:5" ht="18.75">
      <c r="A76" s="177"/>
      <c r="B76" s="82"/>
      <c r="C76" s="83"/>
      <c r="D76" s="83"/>
      <c r="E76" s="83"/>
    </row>
    <row r="77" spans="1:7" ht="18.75">
      <c r="A77" s="712" t="s">
        <v>398</v>
      </c>
      <c r="B77" s="712"/>
      <c r="C77" s="712"/>
      <c r="D77" s="712"/>
      <c r="E77" s="712"/>
      <c r="F77" s="712"/>
      <c r="G77" s="712"/>
    </row>
    <row r="78" spans="1:7" ht="18.75">
      <c r="A78" s="720" t="s">
        <v>399</v>
      </c>
      <c r="B78" s="720"/>
      <c r="C78" s="720"/>
      <c r="D78" s="720"/>
      <c r="E78" s="720"/>
      <c r="F78" s="720"/>
      <c r="G78" s="720"/>
    </row>
    <row r="79" spans="1:7" ht="19.5" thickBot="1">
      <c r="A79" s="720" t="s">
        <v>335</v>
      </c>
      <c r="B79" s="720"/>
      <c r="C79" s="720"/>
      <c r="D79" s="720"/>
      <c r="E79" s="720"/>
      <c r="F79" s="720"/>
      <c r="G79" s="720"/>
    </row>
    <row r="80" spans="1:5" ht="76.5" customHeight="1" thickBot="1">
      <c r="A80" s="4" t="s">
        <v>292</v>
      </c>
      <c r="B80" s="176" t="s">
        <v>308</v>
      </c>
      <c r="C80" s="176" t="s">
        <v>336</v>
      </c>
      <c r="D80" s="176" t="s">
        <v>337</v>
      </c>
      <c r="E80" s="176" t="s">
        <v>338</v>
      </c>
    </row>
    <row r="81" spans="1:6" ht="19.5" thickBot="1">
      <c r="A81" s="174">
        <v>1</v>
      </c>
      <c r="B81" s="179">
        <v>2</v>
      </c>
      <c r="C81" s="179">
        <v>3</v>
      </c>
      <c r="D81" s="179">
        <v>4</v>
      </c>
      <c r="E81" s="179">
        <v>5</v>
      </c>
      <c r="F81" s="63"/>
    </row>
    <row r="82" spans="1:13" ht="27.75" customHeight="1" thickBot="1">
      <c r="A82" s="174">
        <v>1</v>
      </c>
      <c r="B82" s="179" t="s">
        <v>339</v>
      </c>
      <c r="C82" s="208">
        <v>36468145</v>
      </c>
      <c r="D82" s="6">
        <v>2.2</v>
      </c>
      <c r="E82" s="6">
        <f>(C82*D82)/100</f>
        <v>802299.19</v>
      </c>
      <c r="F82" s="63">
        <f>920141/0.022</f>
        <v>41824590.909090914</v>
      </c>
      <c r="H82" s="201"/>
      <c r="K82" s="1">
        <f>886681.49-84382.3</f>
        <v>802299.19</v>
      </c>
      <c r="L82" s="12">
        <f>K82*100/2.2</f>
        <v>36468145</v>
      </c>
      <c r="M82" s="12">
        <f>E82-K82</f>
        <v>0</v>
      </c>
    </row>
    <row r="83" spans="1:13" ht="27" customHeight="1" thickBot="1">
      <c r="A83" s="174">
        <v>2</v>
      </c>
      <c r="B83" s="179" t="s">
        <v>340</v>
      </c>
      <c r="C83" s="208">
        <v>18585187.33</v>
      </c>
      <c r="D83" s="6">
        <v>1.5</v>
      </c>
      <c r="E83" s="6">
        <f>(C83*D83)/100</f>
        <v>278777.80994999997</v>
      </c>
      <c r="F83" s="63">
        <f>676857/0.015</f>
        <v>45123800</v>
      </c>
      <c r="K83" s="1">
        <v>278777.81</v>
      </c>
      <c r="L83" s="12">
        <f>K83*100/1.5</f>
        <v>18585187.333333332</v>
      </c>
      <c r="M83" s="12">
        <f>E83-K83</f>
        <v>-5.000003147870302E-05</v>
      </c>
    </row>
    <row r="84" spans="1:12" ht="27" customHeight="1" hidden="1" thickBot="1">
      <c r="A84" s="174">
        <v>3</v>
      </c>
      <c r="B84" s="179" t="s">
        <v>521</v>
      </c>
      <c r="C84" s="6"/>
      <c r="D84" s="6"/>
      <c r="E84" s="6">
        <v>0</v>
      </c>
      <c r="F84" s="63"/>
      <c r="L84" s="12">
        <f>K84*100/2.2</f>
        <v>0</v>
      </c>
    </row>
    <row r="85" spans="1:12" ht="27" customHeight="1" hidden="1" thickBot="1">
      <c r="A85" s="174">
        <v>4</v>
      </c>
      <c r="B85" s="179" t="s">
        <v>557</v>
      </c>
      <c r="C85" s="6"/>
      <c r="D85" s="6"/>
      <c r="E85" s="6">
        <v>0</v>
      </c>
      <c r="F85" s="63"/>
      <c r="L85" s="12">
        <f>K85*100/2.2</f>
        <v>0</v>
      </c>
    </row>
    <row r="86" spans="1:5" ht="19.5" thickBot="1">
      <c r="A86" s="174"/>
      <c r="B86" s="173" t="s">
        <v>307</v>
      </c>
      <c r="C86" s="7"/>
      <c r="D86" s="7" t="s">
        <v>313</v>
      </c>
      <c r="E86" s="7">
        <f>E83+E82+E84+E85</f>
        <v>1081076.9999499999</v>
      </c>
    </row>
    <row r="87" ht="18.75">
      <c r="A87" s="8" t="s">
        <v>541</v>
      </c>
    </row>
    <row r="88" spans="1:7" ht="18.75">
      <c r="A88" s="178" t="s">
        <v>335</v>
      </c>
      <c r="B88" s="178"/>
      <c r="C88" s="178"/>
      <c r="D88" s="178"/>
      <c r="E88" s="178"/>
      <c r="F88" s="178"/>
      <c r="G88" s="178"/>
    </row>
    <row r="89" spans="1:6" ht="19.5" thickBot="1">
      <c r="A89" s="712" t="s">
        <v>401</v>
      </c>
      <c r="B89" s="712"/>
      <c r="C89" s="712"/>
      <c r="D89" s="712"/>
      <c r="E89" s="712"/>
      <c r="F89" s="712"/>
    </row>
    <row r="90" spans="1:6" ht="38.25" thickBot="1">
      <c r="A90" s="4" t="s">
        <v>292</v>
      </c>
      <c r="B90" s="176" t="s">
        <v>308</v>
      </c>
      <c r="C90" s="176" t="s">
        <v>341</v>
      </c>
      <c r="D90" s="176" t="s">
        <v>342</v>
      </c>
      <c r="E90" s="176" t="s">
        <v>343</v>
      </c>
      <c r="F90" s="176" t="s">
        <v>312</v>
      </c>
    </row>
    <row r="91" spans="1:6" ht="19.5" thickBot="1">
      <c r="A91" s="174">
        <v>1</v>
      </c>
      <c r="B91" s="179">
        <v>2</v>
      </c>
      <c r="C91" s="179">
        <v>3</v>
      </c>
      <c r="D91" s="179">
        <v>4</v>
      </c>
      <c r="E91" s="179">
        <v>5</v>
      </c>
      <c r="F91" s="179">
        <v>6</v>
      </c>
    </row>
    <row r="92" spans="1:6" ht="28.5" customHeight="1" thickBot="1">
      <c r="A92" s="174">
        <v>1</v>
      </c>
      <c r="B92" s="179" t="s">
        <v>344</v>
      </c>
      <c r="C92" s="179">
        <v>3</v>
      </c>
      <c r="D92" s="179">
        <v>12</v>
      </c>
      <c r="E92" s="6">
        <v>1000</v>
      </c>
      <c r="F92" s="6">
        <f>C92*D92*E92</f>
        <v>36000</v>
      </c>
    </row>
    <row r="93" spans="1:6" ht="19.5" hidden="1" thickBot="1">
      <c r="A93" s="174">
        <v>2</v>
      </c>
      <c r="B93" s="179" t="s">
        <v>345</v>
      </c>
      <c r="C93" s="179"/>
      <c r="D93" s="179">
        <v>1</v>
      </c>
      <c r="E93" s="6">
        <v>0</v>
      </c>
      <c r="F93" s="6">
        <f>E93</f>
        <v>0</v>
      </c>
    </row>
    <row r="94" spans="1:6" ht="27.75" customHeight="1" thickBot="1">
      <c r="A94" s="174"/>
      <c r="B94" s="173" t="s">
        <v>307</v>
      </c>
      <c r="C94" s="5" t="s">
        <v>313</v>
      </c>
      <c r="D94" s="5" t="s">
        <v>313</v>
      </c>
      <c r="E94" s="5" t="s">
        <v>313</v>
      </c>
      <c r="F94" s="7">
        <f>F92+F93</f>
        <v>36000</v>
      </c>
    </row>
    <row r="95" spans="1:6" ht="30" customHeight="1" hidden="1" thickBot="1">
      <c r="A95" s="712" t="s">
        <v>402</v>
      </c>
      <c r="B95" s="712"/>
      <c r="C95" s="712"/>
      <c r="D95" s="712"/>
      <c r="E95" s="712"/>
      <c r="F95" s="712"/>
    </row>
    <row r="96" ht="15" hidden="1"/>
    <row r="97" spans="1:5" ht="38.25" hidden="1" thickBot="1">
      <c r="A97" s="4" t="s">
        <v>292</v>
      </c>
      <c r="B97" s="176" t="s">
        <v>308</v>
      </c>
      <c r="C97" s="176" t="s">
        <v>346</v>
      </c>
      <c r="D97" s="176" t="s">
        <v>347</v>
      </c>
      <c r="E97" s="176" t="s">
        <v>348</v>
      </c>
    </row>
    <row r="98" spans="1:5" ht="19.5" hidden="1" thickBot="1">
      <c r="A98" s="174">
        <v>1</v>
      </c>
      <c r="B98" s="179">
        <v>2</v>
      </c>
      <c r="C98" s="179">
        <v>3</v>
      </c>
      <c r="D98" s="179">
        <v>4</v>
      </c>
      <c r="E98" s="179">
        <v>5</v>
      </c>
    </row>
    <row r="99" spans="1:5" ht="19.5" hidden="1" thickBot="1">
      <c r="A99" s="174"/>
      <c r="B99" s="179"/>
      <c r="C99" s="50">
        <v>0</v>
      </c>
      <c r="D99" s="50">
        <v>0</v>
      </c>
      <c r="E99" s="50">
        <f>C99*D99</f>
        <v>0</v>
      </c>
    </row>
    <row r="100" spans="1:5" ht="19.5" hidden="1" thickBot="1">
      <c r="A100" s="174"/>
      <c r="B100" s="64" t="s">
        <v>307</v>
      </c>
      <c r="C100" s="65">
        <f>C99</f>
        <v>0</v>
      </c>
      <c r="D100" s="65">
        <f>D99</f>
        <v>0</v>
      </c>
      <c r="E100" s="65">
        <f>E99</f>
        <v>0</v>
      </c>
    </row>
    <row r="101" spans="1:6" ht="33" customHeight="1" thickBot="1">
      <c r="A101" s="712" t="s">
        <v>403</v>
      </c>
      <c r="B101" s="712"/>
      <c r="C101" s="712"/>
      <c r="D101" s="712"/>
      <c r="E101" s="712"/>
      <c r="F101" s="712"/>
    </row>
    <row r="102" spans="1:14" ht="42" customHeight="1" thickBot="1">
      <c r="A102" s="4" t="s">
        <v>292</v>
      </c>
      <c r="B102" s="176" t="s">
        <v>0</v>
      </c>
      <c r="C102" s="176" t="s">
        <v>349</v>
      </c>
      <c r="D102" s="176" t="s">
        <v>350</v>
      </c>
      <c r="E102" s="176" t="s">
        <v>351</v>
      </c>
      <c r="F102" s="176" t="s">
        <v>352</v>
      </c>
      <c r="G102" s="176" t="s">
        <v>353</v>
      </c>
      <c r="M102" s="218">
        <v>0</v>
      </c>
      <c r="N102" s="219">
        <v>0</v>
      </c>
    </row>
    <row r="103" spans="1:9" ht="19.5" thickBot="1">
      <c r="A103" s="174">
        <v>1</v>
      </c>
      <c r="B103" s="179">
        <v>2</v>
      </c>
      <c r="C103" s="179">
        <v>3</v>
      </c>
      <c r="D103" s="179">
        <v>4</v>
      </c>
      <c r="E103" s="179">
        <v>5</v>
      </c>
      <c r="F103" s="179">
        <v>6</v>
      </c>
      <c r="G103" s="179">
        <v>7</v>
      </c>
      <c r="H103" s="63"/>
      <c r="I103" s="63"/>
    </row>
    <row r="104" spans="1:15" ht="21.75" customHeight="1" thickBot="1">
      <c r="A104" s="174">
        <v>1</v>
      </c>
      <c r="B104" s="174" t="s">
        <v>354</v>
      </c>
      <c r="C104" s="50" t="s">
        <v>355</v>
      </c>
      <c r="D104" s="209">
        <v>731.77</v>
      </c>
      <c r="E104" s="50">
        <v>11591.43808847042</v>
      </c>
      <c r="F104" s="179"/>
      <c r="G104" s="46">
        <f>D104*E104</f>
        <v>8482266.649999999</v>
      </c>
      <c r="H104" s="63"/>
      <c r="I104" s="63"/>
      <c r="K104" s="220">
        <v>731.77</v>
      </c>
      <c r="L104" s="220">
        <v>8482.26665</v>
      </c>
      <c r="M104" s="12">
        <f>L104/K104*1000</f>
        <v>11591.43808847042</v>
      </c>
      <c r="N104" s="12"/>
      <c r="O104" s="86"/>
    </row>
    <row r="105" spans="1:15" ht="21.75" customHeight="1" thickBot="1">
      <c r="A105" s="174">
        <v>2</v>
      </c>
      <c r="B105" s="174" t="s">
        <v>356</v>
      </c>
      <c r="C105" s="50" t="s">
        <v>355</v>
      </c>
      <c r="D105" s="209">
        <v>13.44</v>
      </c>
      <c r="E105" s="50">
        <v>11674.903273809523</v>
      </c>
      <c r="F105" s="179"/>
      <c r="G105" s="46">
        <f aca="true" t="shared" si="1" ref="G105:G110">D105*E105</f>
        <v>156910.69999999998</v>
      </c>
      <c r="H105" s="63"/>
      <c r="I105" s="63"/>
      <c r="K105" s="220">
        <v>13.44</v>
      </c>
      <c r="L105" s="220">
        <v>156.9107</v>
      </c>
      <c r="M105" s="12">
        <f aca="true" t="shared" si="2" ref="M105:M110">L105/K105*1000</f>
        <v>11674.903273809523</v>
      </c>
      <c r="N105" s="12"/>
      <c r="O105" s="86"/>
    </row>
    <row r="106" spans="1:15" ht="21.75" customHeight="1" thickBot="1">
      <c r="A106" s="174">
        <v>3</v>
      </c>
      <c r="B106" s="174" t="s">
        <v>357</v>
      </c>
      <c r="C106" s="50" t="s">
        <v>358</v>
      </c>
      <c r="D106" s="209">
        <v>117610</v>
      </c>
      <c r="E106" s="50">
        <v>9.336992007482358</v>
      </c>
      <c r="F106" s="179"/>
      <c r="G106" s="46">
        <f t="shared" si="1"/>
        <v>1098123.6300000001</v>
      </c>
      <c r="H106" s="63"/>
      <c r="I106" s="63"/>
      <c r="K106" s="220">
        <v>117.61</v>
      </c>
      <c r="L106" s="220">
        <v>1098.12363</v>
      </c>
      <c r="M106" s="12">
        <f>L106/K106</f>
        <v>9.336992007482358</v>
      </c>
      <c r="N106" s="12"/>
      <c r="O106" s="86"/>
    </row>
    <row r="107" spans="1:15" ht="21.75" customHeight="1" thickBot="1">
      <c r="A107" s="174">
        <v>4</v>
      </c>
      <c r="B107" s="174" t="s">
        <v>359</v>
      </c>
      <c r="C107" s="50" t="s">
        <v>360</v>
      </c>
      <c r="D107" s="209">
        <v>1245</v>
      </c>
      <c r="E107" s="50">
        <v>92.94574297188755</v>
      </c>
      <c r="F107" s="179"/>
      <c r="G107" s="46">
        <f t="shared" si="1"/>
        <v>115717.45000000001</v>
      </c>
      <c r="H107" s="63"/>
      <c r="I107" s="63"/>
      <c r="K107" s="220">
        <v>1245</v>
      </c>
      <c r="L107" s="220">
        <v>115.71745</v>
      </c>
      <c r="M107" s="12">
        <f t="shared" si="2"/>
        <v>92.94574297188755</v>
      </c>
      <c r="N107" s="12"/>
      <c r="O107" s="86"/>
    </row>
    <row r="108" spans="1:15" ht="21.75" customHeight="1" thickBot="1">
      <c r="A108" s="174">
        <v>5</v>
      </c>
      <c r="B108" s="174" t="s">
        <v>361</v>
      </c>
      <c r="C108" s="50" t="s">
        <v>360</v>
      </c>
      <c r="D108" s="209">
        <v>1555</v>
      </c>
      <c r="E108" s="50">
        <v>86.72472025723474</v>
      </c>
      <c r="F108" s="179"/>
      <c r="G108" s="46">
        <f t="shared" si="1"/>
        <v>134856.94</v>
      </c>
      <c r="H108" s="63"/>
      <c r="I108" s="63"/>
      <c r="K108" s="220">
        <v>1555</v>
      </c>
      <c r="L108" s="220">
        <v>134.85694</v>
      </c>
      <c r="M108" s="12">
        <f t="shared" si="2"/>
        <v>86.72472025723474</v>
      </c>
      <c r="N108" s="12"/>
      <c r="O108" s="86"/>
    </row>
    <row r="109" spans="1:15" ht="21.75" customHeight="1" thickBot="1">
      <c r="A109" s="174">
        <v>6</v>
      </c>
      <c r="B109" s="174" t="s">
        <v>362</v>
      </c>
      <c r="C109" s="50" t="s">
        <v>360</v>
      </c>
      <c r="D109" s="209">
        <v>310</v>
      </c>
      <c r="E109" s="50">
        <v>89.68312903225807</v>
      </c>
      <c r="F109" s="179"/>
      <c r="G109" s="46">
        <f t="shared" si="1"/>
        <v>27801.77</v>
      </c>
      <c r="H109" s="63"/>
      <c r="I109" s="63"/>
      <c r="K109" s="220">
        <v>310</v>
      </c>
      <c r="L109" s="220">
        <v>27.80177</v>
      </c>
      <c r="M109" s="12">
        <f t="shared" si="2"/>
        <v>89.68312903225807</v>
      </c>
      <c r="N109" s="12"/>
      <c r="O109" s="86"/>
    </row>
    <row r="110" spans="1:15" ht="21.75" customHeight="1" thickBot="1">
      <c r="A110" s="174">
        <v>7</v>
      </c>
      <c r="B110" s="179" t="s">
        <v>508</v>
      </c>
      <c r="C110" s="50" t="s">
        <v>517</v>
      </c>
      <c r="D110" s="209">
        <v>171.6</v>
      </c>
      <c r="E110" s="50">
        <v>750.5449883449884</v>
      </c>
      <c r="F110" s="179"/>
      <c r="G110" s="46">
        <f t="shared" si="1"/>
        <v>128793.52</v>
      </c>
      <c r="H110" s="63"/>
      <c r="I110" s="63"/>
      <c r="K110" s="220">
        <v>171.6</v>
      </c>
      <c r="L110" s="220">
        <v>128.79352</v>
      </c>
      <c r="M110" s="12">
        <f t="shared" si="2"/>
        <v>750.5449883449884</v>
      </c>
      <c r="N110" s="12"/>
      <c r="O110" s="86"/>
    </row>
    <row r="111" spans="1:13" ht="22.5" customHeight="1" thickBot="1">
      <c r="A111" s="174"/>
      <c r="B111" s="173" t="s">
        <v>307</v>
      </c>
      <c r="C111" s="5" t="s">
        <v>313</v>
      </c>
      <c r="D111" s="5" t="s">
        <v>313</v>
      </c>
      <c r="E111" s="5" t="s">
        <v>313</v>
      </c>
      <c r="F111" s="5" t="s">
        <v>313</v>
      </c>
      <c r="G111" s="9">
        <f>G109+G108+G107+G106+G105+G104+G110</f>
        <v>10144470.659999998</v>
      </c>
      <c r="H111" s="66"/>
      <c r="K111" s="67">
        <f>10144470.66/1000</f>
        <v>10144.47066</v>
      </c>
      <c r="L111" s="221">
        <f>(SUM(L104:L110))*1000</f>
        <v>10144470.659999998</v>
      </c>
      <c r="M111" s="1">
        <f>(SUM(L104:L110))*1000</f>
        <v>10144470.659999998</v>
      </c>
    </row>
    <row r="112" spans="8:12" ht="15">
      <c r="H112" s="66"/>
      <c r="L112" s="201">
        <f>G111-L111</f>
        <v>0</v>
      </c>
    </row>
    <row r="113" spans="1:6" ht="18.75" hidden="1">
      <c r="A113" s="712" t="s">
        <v>404</v>
      </c>
      <c r="B113" s="712"/>
      <c r="C113" s="712"/>
      <c r="D113" s="712"/>
      <c r="E113" s="712"/>
      <c r="F113" s="8"/>
    </row>
    <row r="114" ht="15" hidden="1"/>
    <row r="115" spans="1:5" ht="38.25" hidden="1" thickBot="1">
      <c r="A115" s="4" t="s">
        <v>292</v>
      </c>
      <c r="B115" s="176" t="s">
        <v>0</v>
      </c>
      <c r="C115" s="176" t="s">
        <v>363</v>
      </c>
      <c r="D115" s="176" t="s">
        <v>364</v>
      </c>
      <c r="E115" s="176" t="s">
        <v>365</v>
      </c>
    </row>
    <row r="116" spans="1:5" ht="19.5" hidden="1" thickBot="1">
      <c r="A116" s="174">
        <v>1</v>
      </c>
      <c r="B116" s="179">
        <v>2</v>
      </c>
      <c r="C116" s="179">
        <v>3</v>
      </c>
      <c r="D116" s="179">
        <v>4</v>
      </c>
      <c r="E116" s="179">
        <v>5</v>
      </c>
    </row>
    <row r="117" spans="1:5" ht="19.5" hidden="1" thickBot="1">
      <c r="A117" s="174"/>
      <c r="B117" s="179"/>
      <c r="C117" s="179"/>
      <c r="D117" s="179"/>
      <c r="E117" s="179"/>
    </row>
    <row r="118" spans="1:5" ht="19.5" hidden="1" thickBot="1">
      <c r="A118" s="174"/>
      <c r="B118" s="68" t="s">
        <v>307</v>
      </c>
      <c r="C118" s="179" t="s">
        <v>313</v>
      </c>
      <c r="D118" s="179" t="s">
        <v>313</v>
      </c>
      <c r="E118" s="179">
        <f>E117</f>
        <v>0</v>
      </c>
    </row>
    <row r="119" ht="15" hidden="1"/>
    <row r="120" spans="1:12" ht="31.5" customHeight="1" thickBot="1">
      <c r="A120" s="719" t="s">
        <v>405</v>
      </c>
      <c r="B120" s="719"/>
      <c r="C120" s="719"/>
      <c r="D120" s="719"/>
      <c r="E120" s="719"/>
      <c r="L120" s="12"/>
    </row>
    <row r="121" spans="1:5" ht="48" customHeight="1" thickBot="1">
      <c r="A121" s="4" t="s">
        <v>292</v>
      </c>
      <c r="B121" s="176" t="s">
        <v>308</v>
      </c>
      <c r="C121" s="176" t="s">
        <v>366</v>
      </c>
      <c r="D121" s="176" t="s">
        <v>367</v>
      </c>
      <c r="E121" s="176" t="s">
        <v>368</v>
      </c>
    </row>
    <row r="122" spans="1:5" ht="19.5" thickBot="1">
      <c r="A122" s="174">
        <v>1</v>
      </c>
      <c r="B122" s="179">
        <v>2</v>
      </c>
      <c r="C122" s="179">
        <v>3</v>
      </c>
      <c r="D122" s="179">
        <v>4</v>
      </c>
      <c r="E122" s="179">
        <v>5</v>
      </c>
    </row>
    <row r="123" spans="1:5" ht="28.5" customHeight="1" thickBot="1">
      <c r="A123" s="714" t="s">
        <v>439</v>
      </c>
      <c r="B123" s="715"/>
      <c r="C123" s="715"/>
      <c r="D123" s="715"/>
      <c r="E123" s="716"/>
    </row>
    <row r="124" spans="1:5" ht="25.5" customHeight="1" thickBot="1">
      <c r="A124" s="174">
        <v>1</v>
      </c>
      <c r="B124" s="10" t="s">
        <v>369</v>
      </c>
      <c r="C124" s="179"/>
      <c r="D124" s="179">
        <v>12</v>
      </c>
      <c r="E124" s="6">
        <v>105600</v>
      </c>
    </row>
    <row r="125" spans="1:5" ht="25.5" customHeight="1" thickBot="1">
      <c r="A125" s="174">
        <v>2</v>
      </c>
      <c r="B125" s="10" t="s">
        <v>370</v>
      </c>
      <c r="C125" s="179"/>
      <c r="D125" s="179">
        <v>12</v>
      </c>
      <c r="E125" s="6">
        <v>28920</v>
      </c>
    </row>
    <row r="126" spans="1:5" ht="25.5" customHeight="1" thickBot="1">
      <c r="A126" s="174">
        <v>3</v>
      </c>
      <c r="B126" s="10" t="s">
        <v>548</v>
      </c>
      <c r="C126" s="179"/>
      <c r="D126" s="179">
        <v>12</v>
      </c>
      <c r="E126" s="6">
        <v>48587</v>
      </c>
    </row>
    <row r="127" spans="1:5" ht="25.5" customHeight="1" thickBot="1">
      <c r="A127" s="174">
        <v>4</v>
      </c>
      <c r="B127" s="10" t="s">
        <v>371</v>
      </c>
      <c r="C127" s="179"/>
      <c r="D127" s="179">
        <v>12</v>
      </c>
      <c r="E127" s="6">
        <v>33000</v>
      </c>
    </row>
    <row r="128" spans="1:5" ht="25.5" customHeight="1" thickBot="1">
      <c r="A128" s="174">
        <v>5</v>
      </c>
      <c r="B128" s="10" t="s">
        <v>372</v>
      </c>
      <c r="C128" s="179"/>
      <c r="D128" s="179">
        <v>1</v>
      </c>
      <c r="E128" s="6">
        <v>320000</v>
      </c>
    </row>
    <row r="129" spans="1:5" ht="25.5" customHeight="1" thickBot="1">
      <c r="A129" s="174">
        <v>6</v>
      </c>
      <c r="B129" s="10" t="s">
        <v>373</v>
      </c>
      <c r="C129" s="179"/>
      <c r="D129" s="179">
        <v>4</v>
      </c>
      <c r="E129" s="6">
        <v>40000</v>
      </c>
    </row>
    <row r="130" spans="1:5" ht="25.5" customHeight="1" thickBot="1">
      <c r="A130" s="174">
        <v>7</v>
      </c>
      <c r="B130" s="10" t="s">
        <v>374</v>
      </c>
      <c r="C130" s="179"/>
      <c r="D130" s="179"/>
      <c r="E130" s="6">
        <f>80000+2767578.43</f>
        <v>2847578.43</v>
      </c>
    </row>
    <row r="131" spans="1:5" ht="25.5" customHeight="1" thickBot="1">
      <c r="A131" s="174">
        <v>8</v>
      </c>
      <c r="B131" s="10" t="s">
        <v>375</v>
      </c>
      <c r="C131" s="179"/>
      <c r="D131" s="179"/>
      <c r="E131" s="6">
        <f>58800</f>
        <v>58800</v>
      </c>
    </row>
    <row r="132" spans="1:5" ht="25.5" customHeight="1" thickBot="1">
      <c r="A132" s="174">
        <v>9</v>
      </c>
      <c r="B132" s="10" t="s">
        <v>565</v>
      </c>
      <c r="C132" s="179"/>
      <c r="D132" s="179"/>
      <c r="E132" s="6">
        <v>57600</v>
      </c>
    </row>
    <row r="133" spans="1:5" ht="25.5" customHeight="1" thickBot="1">
      <c r="A133" s="174">
        <v>10</v>
      </c>
      <c r="B133" s="10" t="s">
        <v>563</v>
      </c>
      <c r="C133" s="179"/>
      <c r="D133" s="179"/>
      <c r="E133" s="6">
        <v>92400</v>
      </c>
    </row>
    <row r="134" spans="1:5" ht="25.5" customHeight="1" thickBot="1">
      <c r="A134" s="174">
        <v>11</v>
      </c>
      <c r="B134" s="10" t="s">
        <v>564</v>
      </c>
      <c r="C134" s="179"/>
      <c r="D134" s="179"/>
      <c r="E134" s="6">
        <v>72000</v>
      </c>
    </row>
    <row r="135" spans="1:5" ht="25.5" customHeight="1" thickBot="1">
      <c r="A135" s="174">
        <v>12</v>
      </c>
      <c r="B135" s="10" t="s">
        <v>532</v>
      </c>
      <c r="C135" s="179"/>
      <c r="D135" s="179"/>
      <c r="E135" s="6">
        <v>55000</v>
      </c>
    </row>
    <row r="136" spans="1:5" ht="25.5" customHeight="1" thickBot="1">
      <c r="A136" s="174">
        <v>13</v>
      </c>
      <c r="B136" s="10" t="s">
        <v>376</v>
      </c>
      <c r="C136" s="179"/>
      <c r="D136" s="179">
        <v>1</v>
      </c>
      <c r="E136" s="6">
        <v>100000</v>
      </c>
    </row>
    <row r="137" spans="1:5" ht="25.5" customHeight="1" thickBot="1">
      <c r="A137" s="174">
        <v>14</v>
      </c>
      <c r="B137" s="10" t="s">
        <v>533</v>
      </c>
      <c r="C137" s="179"/>
      <c r="D137" s="179"/>
      <c r="E137" s="6">
        <v>10000</v>
      </c>
    </row>
    <row r="138" spans="1:5" ht="25.5" customHeight="1" thickBot="1">
      <c r="A138" s="174">
        <v>15</v>
      </c>
      <c r="B138" s="10" t="s">
        <v>534</v>
      </c>
      <c r="C138" s="179"/>
      <c r="D138" s="179"/>
      <c r="E138" s="6">
        <v>25000</v>
      </c>
    </row>
    <row r="139" spans="1:5" ht="28.5" customHeight="1" thickBot="1">
      <c r="A139" s="174">
        <v>16</v>
      </c>
      <c r="B139" s="10" t="s">
        <v>499</v>
      </c>
      <c r="C139" s="179"/>
      <c r="D139" s="179"/>
      <c r="E139" s="6">
        <f>50000+87899</f>
        <v>137899</v>
      </c>
    </row>
    <row r="140" spans="1:11" ht="23.25" customHeight="1" thickBot="1">
      <c r="A140" s="174"/>
      <c r="B140" s="173" t="s">
        <v>440</v>
      </c>
      <c r="C140" s="179"/>
      <c r="D140" s="179"/>
      <c r="E140" s="7">
        <f>SUM(E124:E139)</f>
        <v>4032384.43</v>
      </c>
      <c r="F140" s="12"/>
      <c r="K140" s="12">
        <f>1265628.22-E140</f>
        <v>-2766756.21</v>
      </c>
    </row>
    <row r="141" spans="1:5" ht="23.25" customHeight="1" thickBot="1">
      <c r="A141" s="714" t="s">
        <v>441</v>
      </c>
      <c r="B141" s="715"/>
      <c r="C141" s="715"/>
      <c r="D141" s="715"/>
      <c r="E141" s="716"/>
    </row>
    <row r="142" spans="1:5" ht="23.25" customHeight="1" thickBot="1">
      <c r="A142" s="174">
        <v>1</v>
      </c>
      <c r="B142" s="10"/>
      <c r="C142" s="179"/>
      <c r="D142" s="179"/>
      <c r="E142" s="6">
        <v>0</v>
      </c>
    </row>
    <row r="143" spans="1:5" ht="23.25" customHeight="1" thickBot="1">
      <c r="A143" s="174"/>
      <c r="B143" s="10"/>
      <c r="C143" s="179"/>
      <c r="D143" s="179"/>
      <c r="E143" s="6"/>
    </row>
    <row r="144" spans="1:5" ht="23.25" customHeight="1" thickBot="1">
      <c r="A144" s="174"/>
      <c r="B144" s="173" t="s">
        <v>440</v>
      </c>
      <c r="C144" s="179"/>
      <c r="D144" s="179"/>
      <c r="E144" s="7">
        <f>E143+E142</f>
        <v>0</v>
      </c>
    </row>
    <row r="145" spans="1:5" ht="23.25" customHeight="1" thickBot="1">
      <c r="A145" s="714" t="s">
        <v>442</v>
      </c>
      <c r="B145" s="715"/>
      <c r="C145" s="715"/>
      <c r="D145" s="715"/>
      <c r="E145" s="716"/>
    </row>
    <row r="146" spans="1:5" ht="23.25" customHeight="1" thickBot="1">
      <c r="A146" s="174">
        <v>1</v>
      </c>
      <c r="B146" s="10" t="s">
        <v>374</v>
      </c>
      <c r="C146" s="179"/>
      <c r="D146" s="179"/>
      <c r="E146" s="6">
        <v>0</v>
      </c>
    </row>
    <row r="147" spans="1:5" ht="23.25" customHeight="1" thickBot="1">
      <c r="A147" s="174"/>
      <c r="B147" s="173" t="s">
        <v>440</v>
      </c>
      <c r="C147" s="179"/>
      <c r="D147" s="179"/>
      <c r="E147" s="6">
        <f>E146</f>
        <v>0</v>
      </c>
    </row>
    <row r="148" spans="1:13" ht="25.5" customHeight="1" thickBot="1">
      <c r="A148" s="174"/>
      <c r="B148" s="173" t="s">
        <v>443</v>
      </c>
      <c r="C148" s="5" t="s">
        <v>313</v>
      </c>
      <c r="D148" s="5" t="s">
        <v>313</v>
      </c>
      <c r="E148" s="7">
        <f>E147+E144+E140</f>
        <v>4032384.43</v>
      </c>
      <c r="F148" s="30"/>
      <c r="L148" s="12"/>
      <c r="M148" s="30"/>
    </row>
    <row r="149" spans="1:14" ht="28.5" customHeight="1" thickBot="1">
      <c r="A149" s="768" t="s">
        <v>406</v>
      </c>
      <c r="B149" s="768"/>
      <c r="C149" s="768"/>
      <c r="D149" s="768"/>
      <c r="E149" s="768"/>
      <c r="L149" s="12"/>
      <c r="M149" s="12"/>
      <c r="N149" s="12"/>
    </row>
    <row r="150" spans="1:4" ht="43.5" customHeight="1" thickBot="1">
      <c r="A150" s="4" t="s">
        <v>292</v>
      </c>
      <c r="B150" s="176" t="s">
        <v>308</v>
      </c>
      <c r="C150" s="176" t="s">
        <v>377</v>
      </c>
      <c r="D150" s="176" t="s">
        <v>378</v>
      </c>
    </row>
    <row r="151" spans="1:4" ht="19.5" thickBot="1">
      <c r="A151" s="174">
        <v>1</v>
      </c>
      <c r="B151" s="179">
        <v>2</v>
      </c>
      <c r="C151" s="179">
        <v>3</v>
      </c>
      <c r="D151" s="179">
        <v>4</v>
      </c>
    </row>
    <row r="152" spans="1:4" ht="25.5" customHeight="1" thickBot="1">
      <c r="A152" s="714" t="s">
        <v>439</v>
      </c>
      <c r="B152" s="715"/>
      <c r="C152" s="715"/>
      <c r="D152" s="716"/>
    </row>
    <row r="153" spans="1:4" ht="24.75" customHeight="1" thickBot="1">
      <c r="A153" s="174">
        <v>2</v>
      </c>
      <c r="B153" s="10" t="s">
        <v>379</v>
      </c>
      <c r="C153" s="179"/>
      <c r="D153" s="6">
        <v>156000</v>
      </c>
    </row>
    <row r="154" spans="1:4" ht="24.75" customHeight="1" thickBot="1">
      <c r="A154" s="174">
        <v>3</v>
      </c>
      <c r="B154" s="10" t="s">
        <v>380</v>
      </c>
      <c r="C154" s="179"/>
      <c r="D154" s="6">
        <f>300000+100000</f>
        <v>400000</v>
      </c>
    </row>
    <row r="155" spans="1:4" ht="24.75" customHeight="1" thickBot="1">
      <c r="A155" s="174">
        <v>4</v>
      </c>
      <c r="B155" s="10" t="s">
        <v>381</v>
      </c>
      <c r="C155" s="179"/>
      <c r="D155" s="6">
        <v>120000</v>
      </c>
    </row>
    <row r="156" spans="1:4" ht="24.75" customHeight="1" thickBot="1">
      <c r="A156" s="174">
        <v>5</v>
      </c>
      <c r="B156" s="10" t="s">
        <v>566</v>
      </c>
      <c r="C156" s="179"/>
      <c r="D156" s="6">
        <v>15000</v>
      </c>
    </row>
    <row r="157" spans="1:4" ht="24.75" customHeight="1" thickBot="1">
      <c r="A157" s="174">
        <v>6</v>
      </c>
      <c r="B157" s="10" t="s">
        <v>500</v>
      </c>
      <c r="C157" s="179"/>
      <c r="D157" s="6">
        <v>360000</v>
      </c>
    </row>
    <row r="158" spans="1:4" ht="24.75" customHeight="1" thickBot="1">
      <c r="A158" s="174">
        <v>7</v>
      </c>
      <c r="B158" s="10" t="s">
        <v>546</v>
      </c>
      <c r="C158" s="179"/>
      <c r="D158" s="6">
        <v>30000</v>
      </c>
    </row>
    <row r="159" spans="1:4" ht="24.75" customHeight="1" thickBot="1">
      <c r="A159" s="174">
        <v>8</v>
      </c>
      <c r="B159" s="10" t="s">
        <v>550</v>
      </c>
      <c r="C159" s="179"/>
      <c r="D159" s="6">
        <v>18500</v>
      </c>
    </row>
    <row r="160" spans="1:4" ht="24.75" customHeight="1" thickBot="1">
      <c r="A160" s="174">
        <v>9</v>
      </c>
      <c r="B160" s="10" t="s">
        <v>562</v>
      </c>
      <c r="C160" s="179"/>
      <c r="D160" s="6">
        <f>1399008+764742</f>
        <v>2163750</v>
      </c>
    </row>
    <row r="161" spans="1:4" ht="24.75" customHeight="1" hidden="1" thickBot="1">
      <c r="A161" s="174">
        <v>10</v>
      </c>
      <c r="B161" s="10" t="s">
        <v>501</v>
      </c>
      <c r="C161" s="179"/>
      <c r="D161" s="6">
        <v>0</v>
      </c>
    </row>
    <row r="162" spans="1:11" ht="26.25" customHeight="1" thickBot="1">
      <c r="A162" s="174"/>
      <c r="B162" s="173" t="s">
        <v>307</v>
      </c>
      <c r="C162" s="5" t="s">
        <v>313</v>
      </c>
      <c r="D162" s="7">
        <f>SUM(D153:D161)</f>
        <v>3263250</v>
      </c>
      <c r="K162" s="12">
        <f>(1159500+1399008-60000)-D162</f>
        <v>-764742</v>
      </c>
    </row>
    <row r="163" spans="1:4" ht="26.25" customHeight="1" thickBot="1">
      <c r="A163" s="714" t="s">
        <v>441</v>
      </c>
      <c r="B163" s="715"/>
      <c r="C163" s="715"/>
      <c r="D163" s="716"/>
    </row>
    <row r="164" spans="1:4" ht="27.75" customHeight="1" thickBot="1">
      <c r="A164" s="210">
        <v>1</v>
      </c>
      <c r="B164" s="212"/>
      <c r="C164" s="213"/>
      <c r="D164" s="211">
        <v>0</v>
      </c>
    </row>
    <row r="165" spans="1:4" ht="26.25" customHeight="1" hidden="1" thickBot="1">
      <c r="A165" s="210"/>
      <c r="B165" s="212"/>
      <c r="C165" s="213"/>
      <c r="D165" s="211"/>
    </row>
    <row r="166" spans="1:4" ht="26.25" customHeight="1" thickBot="1">
      <c r="A166" s="174"/>
      <c r="B166" s="173" t="s">
        <v>307</v>
      </c>
      <c r="C166" s="5" t="s">
        <v>313</v>
      </c>
      <c r="D166" s="7">
        <f>D164+D165</f>
        <v>0</v>
      </c>
    </row>
    <row r="167" spans="1:4" ht="26.25" customHeight="1" thickBot="1">
      <c r="A167" s="714" t="s">
        <v>442</v>
      </c>
      <c r="B167" s="715"/>
      <c r="C167" s="715"/>
      <c r="D167" s="716"/>
    </row>
    <row r="168" spans="1:4" ht="31.5" customHeight="1" thickBot="1">
      <c r="A168" s="174">
        <v>1</v>
      </c>
      <c r="B168" s="10"/>
      <c r="C168" s="5"/>
      <c r="D168" s="6"/>
    </row>
    <row r="169" spans="1:4" ht="26.25" customHeight="1" thickBot="1">
      <c r="A169" s="174"/>
      <c r="B169" s="173" t="s">
        <v>307</v>
      </c>
      <c r="C169" s="5" t="s">
        <v>313</v>
      </c>
      <c r="D169" s="7">
        <f>D168</f>
        <v>0</v>
      </c>
    </row>
    <row r="170" spans="1:14" ht="29.25" customHeight="1" thickBot="1">
      <c r="A170" s="174"/>
      <c r="B170" s="173" t="s">
        <v>444</v>
      </c>
      <c r="C170" s="5" t="s">
        <v>313</v>
      </c>
      <c r="D170" s="7">
        <f>D169+D166+D162</f>
        <v>3263250</v>
      </c>
      <c r="E170" s="30"/>
      <c r="L170" s="12"/>
      <c r="M170" s="12"/>
      <c r="N170" s="12"/>
    </row>
    <row r="171" spans="1:5" ht="18.75" hidden="1">
      <c r="A171" s="719" t="s">
        <v>382</v>
      </c>
      <c r="B171" s="719"/>
      <c r="C171" s="719"/>
      <c r="D171" s="719"/>
      <c r="E171" s="719"/>
    </row>
    <row r="172" ht="18.75" hidden="1">
      <c r="A172" s="69"/>
    </row>
    <row r="173" spans="1:4" ht="38.25" hidden="1" thickBot="1">
      <c r="A173" s="4" t="s">
        <v>292</v>
      </c>
      <c r="B173" s="176" t="s">
        <v>308</v>
      </c>
      <c r="C173" s="176" t="s">
        <v>377</v>
      </c>
      <c r="D173" s="176" t="s">
        <v>378</v>
      </c>
    </row>
    <row r="174" spans="1:4" ht="19.5" hidden="1" thickBot="1">
      <c r="A174" s="174">
        <v>1</v>
      </c>
      <c r="B174" s="179">
        <v>2</v>
      </c>
      <c r="C174" s="179">
        <v>3</v>
      </c>
      <c r="D174" s="179">
        <v>4</v>
      </c>
    </row>
    <row r="175" spans="1:4" ht="19.5" hidden="1" thickBot="1">
      <c r="A175" s="174">
        <v>1</v>
      </c>
      <c r="B175" s="10" t="s">
        <v>383</v>
      </c>
      <c r="C175" s="179">
        <v>1</v>
      </c>
      <c r="D175" s="6">
        <v>0</v>
      </c>
    </row>
    <row r="176" spans="1:5" ht="19.5" hidden="1" thickBot="1">
      <c r="A176" s="174"/>
      <c r="B176" s="173" t="s">
        <v>307</v>
      </c>
      <c r="C176" s="5" t="s">
        <v>313</v>
      </c>
      <c r="D176" s="7">
        <f>SUM(D175:D175)</f>
        <v>0</v>
      </c>
      <c r="E176" s="30"/>
    </row>
    <row r="177" spans="1:6" ht="31.5" customHeight="1" thickBot="1">
      <c r="A177" s="719" t="s">
        <v>407</v>
      </c>
      <c r="B177" s="719"/>
      <c r="C177" s="719"/>
      <c r="D177" s="719"/>
      <c r="E177" s="719"/>
      <c r="F177" s="719"/>
    </row>
    <row r="178" spans="1:5" ht="42" customHeight="1" thickBot="1">
      <c r="A178" s="4" t="s">
        <v>292</v>
      </c>
      <c r="B178" s="176" t="s">
        <v>308</v>
      </c>
      <c r="C178" s="176" t="s">
        <v>363</v>
      </c>
      <c r="D178" s="176" t="s">
        <v>384</v>
      </c>
      <c r="E178" s="176" t="s">
        <v>385</v>
      </c>
    </row>
    <row r="179" spans="1:5" ht="19.5" thickBot="1">
      <c r="A179" s="174"/>
      <c r="B179" s="179">
        <v>1</v>
      </c>
      <c r="C179" s="179">
        <v>2</v>
      </c>
      <c r="D179" s="179">
        <v>3</v>
      </c>
      <c r="E179" s="179">
        <v>4</v>
      </c>
    </row>
    <row r="180" spans="1:5" ht="54.75" customHeight="1" hidden="1" thickBot="1">
      <c r="A180" s="174">
        <v>1</v>
      </c>
      <c r="B180" s="10" t="s">
        <v>386</v>
      </c>
      <c r="C180" s="179"/>
      <c r="D180" s="6"/>
      <c r="E180" s="6">
        <f>D180</f>
        <v>0</v>
      </c>
    </row>
    <row r="181" spans="1:5" ht="30" customHeight="1" thickBot="1">
      <c r="A181" s="714" t="s">
        <v>439</v>
      </c>
      <c r="B181" s="715"/>
      <c r="C181" s="715"/>
      <c r="D181" s="715"/>
      <c r="E181" s="716"/>
    </row>
    <row r="182" spans="1:5" ht="25.5" customHeight="1" thickBot="1">
      <c r="A182" s="174">
        <v>1</v>
      </c>
      <c r="B182" s="10" t="s">
        <v>386</v>
      </c>
      <c r="C182" s="179"/>
      <c r="D182" s="6">
        <f>E182</f>
        <v>208555</v>
      </c>
      <c r="E182" s="6">
        <f>208555</f>
        <v>208555</v>
      </c>
    </row>
    <row r="183" spans="1:5" ht="45" customHeight="1" thickBot="1">
      <c r="A183" s="174">
        <v>2</v>
      </c>
      <c r="B183" s="10" t="s">
        <v>567</v>
      </c>
      <c r="C183" s="179"/>
      <c r="D183" s="6">
        <f>E183</f>
        <v>4364930.51</v>
      </c>
      <c r="E183" s="6">
        <f>3106600+1258330.51</f>
        <v>4364930.51</v>
      </c>
    </row>
    <row r="184" spans="1:5" ht="48" customHeight="1" thickBot="1">
      <c r="A184" s="174">
        <v>3</v>
      </c>
      <c r="B184" s="10" t="s">
        <v>568</v>
      </c>
      <c r="C184" s="179"/>
      <c r="D184" s="6">
        <f>E184</f>
        <v>56473.81</v>
      </c>
      <c r="E184" s="6">
        <f>50000+6473.81</f>
        <v>56473.81</v>
      </c>
    </row>
    <row r="185" spans="1:5" ht="29.25" customHeight="1" thickBot="1">
      <c r="A185" s="174"/>
      <c r="B185" s="173" t="s">
        <v>445</v>
      </c>
      <c r="C185" s="5"/>
      <c r="D185" s="7"/>
      <c r="E185" s="7">
        <f>E184+E183+E182</f>
        <v>4629959.319999999</v>
      </c>
    </row>
    <row r="186" spans="1:5" ht="30.75" customHeight="1" thickBot="1">
      <c r="A186" s="714" t="s">
        <v>441</v>
      </c>
      <c r="B186" s="715"/>
      <c r="C186" s="715"/>
      <c r="D186" s="715"/>
      <c r="E186" s="716"/>
    </row>
    <row r="187" spans="1:5" ht="30" customHeight="1" thickBot="1">
      <c r="A187" s="174">
        <v>1</v>
      </c>
      <c r="B187" s="10"/>
      <c r="C187" s="5"/>
      <c r="D187" s="6">
        <f>E187</f>
        <v>0</v>
      </c>
      <c r="E187" s="6"/>
    </row>
    <row r="188" spans="1:5" ht="27" customHeight="1" thickBot="1">
      <c r="A188" s="174"/>
      <c r="B188" s="173" t="s">
        <v>445</v>
      </c>
      <c r="C188" s="5"/>
      <c r="D188" s="7"/>
      <c r="E188" s="7">
        <f>E187</f>
        <v>0</v>
      </c>
    </row>
    <row r="189" spans="1:5" ht="33" customHeight="1" thickBot="1">
      <c r="A189" s="714" t="s">
        <v>442</v>
      </c>
      <c r="B189" s="715"/>
      <c r="C189" s="715"/>
      <c r="D189" s="715"/>
      <c r="E189" s="716"/>
    </row>
    <row r="190" spans="1:5" ht="30.75" customHeight="1" thickBot="1">
      <c r="A190" s="174">
        <v>1</v>
      </c>
      <c r="B190" s="10"/>
      <c r="C190" s="5"/>
      <c r="D190" s="6">
        <f>E190</f>
        <v>0</v>
      </c>
      <c r="E190" s="6"/>
    </row>
    <row r="191" spans="1:5" ht="31.5" customHeight="1" thickBot="1">
      <c r="A191" s="174"/>
      <c r="B191" s="173" t="s">
        <v>445</v>
      </c>
      <c r="C191" s="5"/>
      <c r="D191" s="7"/>
      <c r="E191" s="7">
        <f>E190</f>
        <v>0</v>
      </c>
    </row>
    <row r="192" spans="1:5" ht="24.75" customHeight="1" thickBot="1">
      <c r="A192" s="11"/>
      <c r="B192" s="173" t="s">
        <v>446</v>
      </c>
      <c r="C192" s="5"/>
      <c r="D192" s="7"/>
      <c r="E192" s="7">
        <f>E191+E188+E185</f>
        <v>4629959.319999999</v>
      </c>
    </row>
    <row r="193" spans="1:5" ht="30" customHeight="1" thickBot="1">
      <c r="A193" s="714" t="s">
        <v>439</v>
      </c>
      <c r="B193" s="715"/>
      <c r="C193" s="715"/>
      <c r="D193" s="715"/>
      <c r="E193" s="716"/>
    </row>
    <row r="194" spans="1:11" ht="25.5" customHeight="1" thickBot="1">
      <c r="A194" s="174">
        <v>1</v>
      </c>
      <c r="B194" s="10" t="s">
        <v>387</v>
      </c>
      <c r="C194" s="179"/>
      <c r="D194" s="6">
        <f>E194</f>
        <v>78868.21</v>
      </c>
      <c r="E194" s="6">
        <f>150000-71131.79</f>
        <v>78868.21</v>
      </c>
      <c r="K194" s="182">
        <v>346</v>
      </c>
    </row>
    <row r="195" spans="1:11" ht="63" customHeight="1" thickBot="1">
      <c r="A195" s="174">
        <v>2</v>
      </c>
      <c r="B195" s="10" t="s">
        <v>569</v>
      </c>
      <c r="C195" s="179"/>
      <c r="D195" s="6">
        <f aca="true" t="shared" si="3" ref="D195:D203">E195</f>
        <v>10000</v>
      </c>
      <c r="E195" s="6">
        <v>10000</v>
      </c>
      <c r="K195" s="182">
        <v>341</v>
      </c>
    </row>
    <row r="196" spans="1:11" ht="50.25" customHeight="1" hidden="1" thickBot="1">
      <c r="A196" s="174">
        <v>3</v>
      </c>
      <c r="B196" s="10" t="s">
        <v>518</v>
      </c>
      <c r="C196" s="179"/>
      <c r="D196" s="6">
        <f t="shared" si="3"/>
        <v>0</v>
      </c>
      <c r="E196" s="6">
        <v>0</v>
      </c>
      <c r="K196" s="182">
        <v>344</v>
      </c>
    </row>
    <row r="197" spans="1:11" ht="50.25" customHeight="1" hidden="1" thickBot="1">
      <c r="A197" s="174">
        <v>4</v>
      </c>
      <c r="B197" s="10" t="s">
        <v>486</v>
      </c>
      <c r="C197" s="179"/>
      <c r="D197" s="6">
        <f t="shared" si="3"/>
        <v>0</v>
      </c>
      <c r="E197" s="6"/>
      <c r="K197" s="182">
        <v>349</v>
      </c>
    </row>
    <row r="198" spans="1:11" ht="29.25" customHeight="1" thickBot="1">
      <c r="A198" s="174">
        <v>3</v>
      </c>
      <c r="B198" s="10" t="s">
        <v>388</v>
      </c>
      <c r="C198" s="179"/>
      <c r="D198" s="6">
        <f t="shared" si="3"/>
        <v>84000</v>
      </c>
      <c r="E198" s="6">
        <v>84000</v>
      </c>
      <c r="K198" s="182">
        <v>342</v>
      </c>
    </row>
    <row r="199" spans="1:11" ht="42.75" customHeight="1" hidden="1" thickBot="1">
      <c r="A199" s="174">
        <v>5</v>
      </c>
      <c r="B199" s="10" t="s">
        <v>535</v>
      </c>
      <c r="C199" s="179"/>
      <c r="D199" s="6">
        <f t="shared" si="3"/>
        <v>0</v>
      </c>
      <c r="E199" s="6">
        <v>0</v>
      </c>
      <c r="K199" s="182">
        <v>345</v>
      </c>
    </row>
    <row r="200" spans="1:11" ht="49.5" customHeight="1" hidden="1" thickBot="1">
      <c r="A200" s="174">
        <v>7</v>
      </c>
      <c r="B200" s="10" t="s">
        <v>389</v>
      </c>
      <c r="C200" s="179"/>
      <c r="D200" s="6">
        <f t="shared" si="3"/>
        <v>0</v>
      </c>
      <c r="E200" s="6"/>
      <c r="K200" s="182">
        <v>346</v>
      </c>
    </row>
    <row r="201" spans="1:11" ht="49.5" customHeight="1" hidden="1" thickBot="1">
      <c r="A201" s="174">
        <v>8</v>
      </c>
      <c r="B201" s="10" t="s">
        <v>553</v>
      </c>
      <c r="C201" s="179"/>
      <c r="D201" s="6">
        <f t="shared" si="3"/>
        <v>0</v>
      </c>
      <c r="E201" s="6"/>
      <c r="K201" s="182">
        <v>346</v>
      </c>
    </row>
    <row r="202" spans="1:11" ht="49.5" customHeight="1" hidden="1" thickBot="1">
      <c r="A202" s="174">
        <v>9</v>
      </c>
      <c r="B202" s="10" t="s">
        <v>552</v>
      </c>
      <c r="C202" s="179"/>
      <c r="D202" s="6">
        <f t="shared" si="3"/>
        <v>0</v>
      </c>
      <c r="E202" s="6"/>
      <c r="K202" s="182">
        <v>349</v>
      </c>
    </row>
    <row r="203" spans="1:11" ht="42" customHeight="1" hidden="1" thickBot="1">
      <c r="A203" s="174">
        <v>10</v>
      </c>
      <c r="B203" s="10" t="s">
        <v>551</v>
      </c>
      <c r="C203" s="179"/>
      <c r="D203" s="6">
        <f t="shared" si="3"/>
        <v>0</v>
      </c>
      <c r="E203" s="6"/>
      <c r="K203" s="182">
        <v>349</v>
      </c>
    </row>
    <row r="204" spans="1:11" ht="25.5" customHeight="1" thickBot="1">
      <c r="A204" s="174"/>
      <c r="B204" s="173" t="s">
        <v>445</v>
      </c>
      <c r="C204" s="5"/>
      <c r="D204" s="7"/>
      <c r="E204" s="7">
        <f>E194+E198+E195+E196+E202+E197+E199+E200+E201+E203</f>
        <v>172868.21000000002</v>
      </c>
      <c r="K204" s="12">
        <f>679362-E204</f>
        <v>506493.79</v>
      </c>
    </row>
    <row r="205" spans="1:5" ht="29.25" customHeight="1" thickBot="1">
      <c r="A205" s="714" t="s">
        <v>441</v>
      </c>
      <c r="B205" s="715"/>
      <c r="C205" s="715"/>
      <c r="D205" s="715"/>
      <c r="E205" s="716"/>
    </row>
    <row r="206" spans="1:11" ht="27.75" customHeight="1" thickBot="1">
      <c r="A206" s="174">
        <v>1</v>
      </c>
      <c r="B206" s="10" t="s">
        <v>571</v>
      </c>
      <c r="C206" s="179"/>
      <c r="D206" s="6">
        <f>E206</f>
        <v>9681900</v>
      </c>
      <c r="E206" s="6">
        <v>9681900</v>
      </c>
      <c r="K206" s="182">
        <v>342</v>
      </c>
    </row>
    <row r="207" spans="1:11" ht="39" customHeight="1" hidden="1" thickBot="1">
      <c r="A207" s="174">
        <v>2</v>
      </c>
      <c r="B207" s="10" t="s">
        <v>518</v>
      </c>
      <c r="C207" s="179"/>
      <c r="D207" s="6"/>
      <c r="E207" s="6">
        <f>D207</f>
        <v>0</v>
      </c>
      <c r="K207" s="182">
        <v>344</v>
      </c>
    </row>
    <row r="208" spans="1:11" ht="39" customHeight="1" hidden="1" thickBot="1">
      <c r="A208" s="174">
        <v>3</v>
      </c>
      <c r="B208" s="10" t="s">
        <v>485</v>
      </c>
      <c r="C208" s="179"/>
      <c r="D208" s="6"/>
      <c r="E208" s="6">
        <f>D208</f>
        <v>0</v>
      </c>
      <c r="K208" s="182">
        <v>346</v>
      </c>
    </row>
    <row r="209" spans="1:11" ht="27.75" customHeight="1" thickBot="1">
      <c r="A209" s="174"/>
      <c r="B209" s="173" t="s">
        <v>445</v>
      </c>
      <c r="C209" s="5"/>
      <c r="D209" s="7"/>
      <c r="E209" s="7">
        <f>SUM(E206:E208)</f>
        <v>9681900</v>
      </c>
      <c r="K209" s="182"/>
    </row>
    <row r="210" spans="1:11" ht="30" customHeight="1" thickBot="1">
      <c r="A210" s="714" t="s">
        <v>442</v>
      </c>
      <c r="B210" s="715"/>
      <c r="C210" s="715"/>
      <c r="D210" s="715"/>
      <c r="E210" s="716"/>
      <c r="K210" s="182"/>
    </row>
    <row r="211" spans="1:11" ht="41.25" customHeight="1" hidden="1" thickBot="1">
      <c r="A211" s="174">
        <v>1</v>
      </c>
      <c r="B211" s="214" t="s">
        <v>515</v>
      </c>
      <c r="C211" s="215"/>
      <c r="D211" s="196">
        <f>E211</f>
        <v>0</v>
      </c>
      <c r="E211" s="216"/>
      <c r="K211" s="182">
        <v>349</v>
      </c>
    </row>
    <row r="212" spans="1:11" ht="30" customHeight="1" thickBot="1">
      <c r="A212" s="174">
        <v>1</v>
      </c>
      <c r="B212" s="10" t="s">
        <v>571</v>
      </c>
      <c r="C212" s="5"/>
      <c r="D212" s="207">
        <f>E212</f>
        <v>2037130.7568002422</v>
      </c>
      <c r="E212" s="6">
        <f>'доход 2023г.'!H55</f>
        <v>2037130.7568002422</v>
      </c>
      <c r="K212" s="182">
        <v>342</v>
      </c>
    </row>
    <row r="213" spans="1:11" ht="30" customHeight="1" thickBot="1">
      <c r="A213" s="174">
        <v>2</v>
      </c>
      <c r="B213" s="10" t="s">
        <v>570</v>
      </c>
      <c r="C213" s="5"/>
      <c r="D213" s="6">
        <f>E213</f>
        <v>827280</v>
      </c>
      <c r="E213" s="6">
        <f>'доход 2023г.'!E39</f>
        <v>827280</v>
      </c>
      <c r="K213" s="182">
        <v>346</v>
      </c>
    </row>
    <row r="214" spans="1:5" ht="23.25" customHeight="1" thickBot="1">
      <c r="A214" s="174"/>
      <c r="B214" s="173" t="s">
        <v>445</v>
      </c>
      <c r="C214" s="5"/>
      <c r="D214" s="7"/>
      <c r="E214" s="217">
        <f>E213+E212+E211</f>
        <v>2864410.7568002422</v>
      </c>
    </row>
    <row r="215" spans="1:5" ht="23.25" customHeight="1" thickBot="1">
      <c r="A215" s="11"/>
      <c r="B215" s="173" t="s">
        <v>447</v>
      </c>
      <c r="C215" s="5"/>
      <c r="D215" s="7"/>
      <c r="E215" s="7">
        <f>E214+E209+E204</f>
        <v>12719178.966800243</v>
      </c>
    </row>
    <row r="216" spans="1:3" ht="13.5" customHeight="1" hidden="1">
      <c r="A216" s="728"/>
      <c r="B216" s="728"/>
      <c r="C216" s="728"/>
    </row>
    <row r="217" spans="6:13" ht="15" hidden="1">
      <c r="F217" s="1" t="s">
        <v>390</v>
      </c>
      <c r="G217" s="30">
        <v>7713057.64</v>
      </c>
      <c r="H217" s="30">
        <f>E194+E195+E196+E198+E199+E182+D162+E140+F94</f>
        <v>7713057.640000001</v>
      </c>
      <c r="I217" s="12">
        <f>G217-H217</f>
        <v>0</v>
      </c>
      <c r="J217" s="49"/>
      <c r="K217" s="49"/>
      <c r="M217" s="12"/>
    </row>
    <row r="218" spans="6:11" ht="15" hidden="1">
      <c r="F218" s="1" t="s">
        <v>391</v>
      </c>
      <c r="G218" s="30">
        <v>4364930.51</v>
      </c>
      <c r="H218" s="30">
        <f>E183</f>
        <v>4364930.51</v>
      </c>
      <c r="I218" s="12">
        <f>G218-H218</f>
        <v>0</v>
      </c>
      <c r="J218" s="49"/>
      <c r="K218" s="49"/>
    </row>
    <row r="219" spans="3:11" ht="15" hidden="1">
      <c r="C219" s="1" t="s">
        <v>514</v>
      </c>
      <c r="D219" s="12">
        <f>E147+D168+E191+E210+E211</f>
        <v>0</v>
      </c>
      <c r="F219" s="1" t="s">
        <v>519</v>
      </c>
      <c r="G219" s="12">
        <v>56473.81</v>
      </c>
      <c r="H219" s="12">
        <f>E184</f>
        <v>56473.81</v>
      </c>
      <c r="I219" s="12">
        <f>G219-H219</f>
        <v>0</v>
      </c>
      <c r="J219" s="70"/>
      <c r="K219" s="49"/>
    </row>
    <row r="220" spans="4:11" ht="15" hidden="1">
      <c r="D220" s="12">
        <f>D219-'доход 2022г '!E62</f>
        <v>-8509.38</v>
      </c>
      <c r="J220" s="49"/>
      <c r="K220" s="49"/>
    </row>
    <row r="221" spans="10:11" ht="15" hidden="1">
      <c r="J221" s="49"/>
      <c r="K221" s="49"/>
    </row>
    <row r="222" spans="4:11" ht="15" hidden="1">
      <c r="D222" s="71"/>
      <c r="E222" s="12"/>
      <c r="J222" s="51"/>
      <c r="K222" s="51"/>
    </row>
    <row r="223" spans="4:15" ht="15" hidden="1">
      <c r="D223" s="71"/>
      <c r="J223" s="44"/>
      <c r="K223" s="44"/>
      <c r="L223" s="72"/>
      <c r="M223" s="72" t="s">
        <v>502</v>
      </c>
      <c r="N223" s="73" t="s">
        <v>503</v>
      </c>
      <c r="O223" s="74" t="s">
        <v>504</v>
      </c>
    </row>
    <row r="224" spans="4:15" ht="15" hidden="1">
      <c r="D224" s="71"/>
      <c r="E224" s="12"/>
      <c r="L224" s="72" t="s">
        <v>505</v>
      </c>
      <c r="M224" s="75">
        <f>F42+E187+E205+E144+E206+D165+E207+K23+D75</f>
        <v>11983108</v>
      </c>
      <c r="N224" s="75">
        <f>'стр.1_4'!DS49</f>
        <v>11983108</v>
      </c>
      <c r="O224" s="267">
        <f>N224-M224</f>
        <v>0</v>
      </c>
    </row>
    <row r="225" spans="4:15" ht="15" hidden="1">
      <c r="D225" s="71"/>
      <c r="E225" s="12"/>
      <c r="F225" s="12"/>
      <c r="L225" s="76" t="s">
        <v>425</v>
      </c>
      <c r="M225" s="75">
        <f>E214+E147</f>
        <v>2864410.7568002422</v>
      </c>
      <c r="N225" s="75">
        <f>'доход 2022г '!E23+'доход 2022г '!E38+'доход 2022г '!H54+'стр.1_4'!DS123</f>
        <v>4178253.14</v>
      </c>
      <c r="O225" s="267">
        <f>N225-M225</f>
        <v>1313842.383199758</v>
      </c>
    </row>
    <row r="226" spans="4:16" ht="15" hidden="1">
      <c r="D226" s="71"/>
      <c r="E226" s="12"/>
      <c r="L226" s="72" t="s">
        <v>506</v>
      </c>
      <c r="M226" s="75">
        <f>E204+E185+D162+E140+G111+F94+E86+D58-K54+K36</f>
        <v>92908020.29995</v>
      </c>
      <c r="N226" s="75">
        <f>'стр.1_4'!DS36</f>
        <v>92908020.3</v>
      </c>
      <c r="O226" s="267">
        <f>N226-M226</f>
        <v>4.999339580535889E-05</v>
      </c>
      <c r="P226" s="30"/>
    </row>
    <row r="227" spans="4:15" ht="15" hidden="1">
      <c r="D227" s="71"/>
      <c r="E227" s="12"/>
      <c r="L227" s="72"/>
      <c r="M227" s="75"/>
      <c r="N227" s="75"/>
      <c r="O227" s="75"/>
    </row>
    <row r="228" spans="4:15" ht="15" hidden="1">
      <c r="D228" s="71"/>
      <c r="E228" s="12"/>
      <c r="L228" s="77"/>
      <c r="M228" s="75"/>
      <c r="N228" s="75"/>
      <c r="O228" s="75"/>
    </row>
    <row r="229" spans="4:15" ht="15">
      <c r="D229" s="71"/>
      <c r="E229" s="12"/>
      <c r="L229" s="78"/>
      <c r="M229" s="78"/>
      <c r="N229" s="73"/>
      <c r="O229" s="73"/>
    </row>
    <row r="230" spans="4:5" ht="15">
      <c r="D230" s="71"/>
      <c r="E230" s="12"/>
    </row>
    <row r="231" spans="4:5" ht="15">
      <c r="D231" s="71"/>
      <c r="E231" s="12"/>
    </row>
    <row r="233" spans="13:14" ht="15">
      <c r="M233" s="12"/>
      <c r="N233" s="79"/>
    </row>
  </sheetData>
  <sheetProtection/>
  <mergeCells count="55">
    <mergeCell ref="A123:E123"/>
    <mergeCell ref="A152:D152"/>
    <mergeCell ref="A163:D163"/>
    <mergeCell ref="A167:D167"/>
    <mergeCell ref="A186:E186"/>
    <mergeCell ref="A189:E189"/>
    <mergeCell ref="A181:E181"/>
    <mergeCell ref="A149:E149"/>
    <mergeCell ref="A171:E171"/>
    <mergeCell ref="A141:E141"/>
    <mergeCell ref="A216:C216"/>
    <mergeCell ref="A177:F177"/>
    <mergeCell ref="A193:E193"/>
    <mergeCell ref="A205:E205"/>
    <mergeCell ref="A210:E210"/>
    <mergeCell ref="A59:F59"/>
    <mergeCell ref="A60:F60"/>
    <mergeCell ref="A61:F61"/>
    <mergeCell ref="A77:G77"/>
    <mergeCell ref="A78:G78"/>
    <mergeCell ref="A145:E145"/>
    <mergeCell ref="A66:D66"/>
    <mergeCell ref="A70:A71"/>
    <mergeCell ref="C70:C71"/>
    <mergeCell ref="A101:F101"/>
    <mergeCell ref="A113:E113"/>
    <mergeCell ref="A120:E120"/>
    <mergeCell ref="A89:F89"/>
    <mergeCell ref="A95:F95"/>
    <mergeCell ref="D70:D71"/>
    <mergeCell ref="A79:G79"/>
    <mergeCell ref="A37:F37"/>
    <mergeCell ref="A44:F44"/>
    <mergeCell ref="A49:F49"/>
    <mergeCell ref="A53:A54"/>
    <mergeCell ref="C53:C54"/>
    <mergeCell ref="D53:D54"/>
    <mergeCell ref="I15:I17"/>
    <mergeCell ref="J15:J17"/>
    <mergeCell ref="D16:D17"/>
    <mergeCell ref="E16:G16"/>
    <mergeCell ref="A23:B23"/>
    <mergeCell ref="A30:F30"/>
    <mergeCell ref="A24:J24"/>
    <mergeCell ref="A27:B27"/>
    <mergeCell ref="A10:J10"/>
    <mergeCell ref="A11:J11"/>
    <mergeCell ref="A12:J12"/>
    <mergeCell ref="A13:J13"/>
    <mergeCell ref="A14:J14"/>
    <mergeCell ref="A15:A17"/>
    <mergeCell ref="B15:B17"/>
    <mergeCell ref="C15:C17"/>
    <mergeCell ref="D15:G15"/>
    <mergeCell ref="H15:H1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35"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FF88"/>
  <sheetViews>
    <sheetView view="pageBreakPreview" zoomScale="76" zoomScaleNormal="68" zoomScaleSheetLayoutView="76" zoomScalePageLayoutView="0" workbookViewId="0" topLeftCell="F52">
      <selection activeCell="J52" sqref="J1:AH16384"/>
    </sheetView>
  </sheetViews>
  <sheetFormatPr defaultColWidth="9.00390625" defaultRowHeight="12.75"/>
  <cols>
    <col min="1" max="1" width="8.625" style="1" customWidth="1"/>
    <col min="2" max="2" width="47.625" style="1" customWidth="1"/>
    <col min="3" max="3" width="25.25390625" style="1" customWidth="1"/>
    <col min="4" max="4" width="30.25390625" style="1" customWidth="1"/>
    <col min="5" max="5" width="20.125" style="1" customWidth="1"/>
    <col min="6" max="6" width="22.25390625" style="1" customWidth="1"/>
    <col min="7" max="7" width="20.625" style="1" customWidth="1"/>
    <col min="8" max="8" width="22.375" style="1" customWidth="1"/>
    <col min="9" max="9" width="21.125" style="1" customWidth="1"/>
    <col min="10" max="10" width="9.25390625" style="1" hidden="1" customWidth="1"/>
    <col min="11" max="11" width="25.875" style="1" hidden="1" customWidth="1"/>
    <col min="12" max="12" width="18.75390625" style="1" hidden="1" customWidth="1"/>
    <col min="13" max="13" width="18.625" style="1" hidden="1" customWidth="1"/>
    <col min="14" max="16" width="0" style="1" hidden="1" customWidth="1"/>
    <col min="17" max="17" width="13.75390625" style="1" hidden="1" customWidth="1"/>
    <col min="18" max="18" width="13.375" style="1" hidden="1" customWidth="1"/>
    <col min="19" max="34" width="0" style="1" hidden="1" customWidth="1"/>
    <col min="35" max="16384" width="9.125" style="1" customWidth="1"/>
  </cols>
  <sheetData>
    <row r="1" spans="6:9" ht="15" customHeight="1">
      <c r="F1" s="18"/>
      <c r="G1" s="18"/>
      <c r="H1" s="18"/>
      <c r="I1" s="2" t="s">
        <v>408</v>
      </c>
    </row>
    <row r="2" spans="6:9" ht="18.75" customHeight="1">
      <c r="F2" s="18"/>
      <c r="G2" s="18"/>
      <c r="H2" s="18"/>
      <c r="I2" s="2" t="s">
        <v>283</v>
      </c>
    </row>
    <row r="3" spans="6:9" ht="16.5" customHeight="1">
      <c r="F3" s="18"/>
      <c r="G3" s="18"/>
      <c r="H3" s="18"/>
      <c r="I3" s="3" t="s">
        <v>284</v>
      </c>
    </row>
    <row r="4" spans="6:9" ht="16.5" customHeight="1">
      <c r="F4" s="18"/>
      <c r="G4" s="18"/>
      <c r="H4" s="18"/>
      <c r="I4" s="3" t="s">
        <v>285</v>
      </c>
    </row>
    <row r="5" spans="6:9" ht="16.5" customHeight="1">
      <c r="F5" s="18"/>
      <c r="G5" s="18"/>
      <c r="H5" s="18"/>
      <c r="I5" s="3" t="s">
        <v>286</v>
      </c>
    </row>
    <row r="6" spans="6:9" ht="16.5" customHeight="1">
      <c r="F6" s="18"/>
      <c r="G6" s="18"/>
      <c r="H6" s="18"/>
      <c r="I6" s="3" t="s">
        <v>287</v>
      </c>
    </row>
    <row r="7" spans="6:9" ht="16.5" customHeight="1">
      <c r="F7" s="18"/>
      <c r="G7" s="18"/>
      <c r="H7" s="18"/>
      <c r="I7" s="3" t="s">
        <v>288</v>
      </c>
    </row>
    <row r="8" spans="6:9" ht="15" customHeight="1">
      <c r="F8" s="19"/>
      <c r="G8" s="18"/>
      <c r="H8" s="18"/>
      <c r="I8" s="3" t="s">
        <v>392</v>
      </c>
    </row>
    <row r="9" spans="6:9" ht="15">
      <c r="F9" s="18"/>
      <c r="G9" s="18"/>
      <c r="H9" s="18"/>
      <c r="I9" s="18"/>
    </row>
    <row r="10" ht="15"/>
    <row r="11" s="31" customFormat="1" ht="15"/>
    <row r="12" spans="1:9" s="31" customFormat="1" ht="15" customHeight="1">
      <c r="A12" s="712" t="s">
        <v>536</v>
      </c>
      <c r="B12" s="712"/>
      <c r="C12" s="712"/>
      <c r="D12" s="712"/>
      <c r="E12" s="712"/>
      <c r="F12" s="712"/>
      <c r="G12" s="712"/>
      <c r="H12" s="712"/>
      <c r="I12" s="712"/>
    </row>
    <row r="13" s="31" customFormat="1" ht="18.75">
      <c r="A13" s="8"/>
    </row>
    <row r="14" spans="1:5" s="94" customFormat="1" ht="18.75">
      <c r="A14" s="165" t="s">
        <v>409</v>
      </c>
      <c r="B14" s="165"/>
      <c r="C14" s="165"/>
      <c r="D14" s="165"/>
      <c r="E14" s="165"/>
    </row>
    <row r="15" spans="1:9" s="94" customFormat="1" ht="22.5">
      <c r="A15" s="782" t="s">
        <v>583</v>
      </c>
      <c r="B15" s="782"/>
      <c r="C15" s="782"/>
      <c r="D15" s="782"/>
      <c r="E15" s="782"/>
      <c r="F15" s="782"/>
      <c r="G15" s="782"/>
      <c r="H15" s="782"/>
      <c r="I15" s="782"/>
    </row>
    <row r="16" spans="1:9" s="94" customFormat="1" ht="22.5">
      <c r="A16" s="153" t="s">
        <v>584</v>
      </c>
      <c r="B16" s="153"/>
      <c r="C16" s="153"/>
      <c r="D16" s="153"/>
      <c r="E16" s="153"/>
      <c r="F16" s="153"/>
      <c r="G16" s="153"/>
      <c r="H16" s="153"/>
      <c r="I16" s="153"/>
    </row>
    <row r="17" spans="1:9" s="94" customFormat="1" ht="26.25" customHeight="1">
      <c r="A17" s="780" t="s">
        <v>585</v>
      </c>
      <c r="B17" s="780"/>
      <c r="C17" s="780"/>
      <c r="D17" s="780"/>
      <c r="E17" s="780"/>
      <c r="F17" s="780"/>
      <c r="G17" s="780"/>
      <c r="H17" s="780"/>
      <c r="I17" s="780"/>
    </row>
    <row r="18" s="31" customFormat="1" ht="15.75" thickBot="1"/>
    <row r="19" spans="1:5" s="31" customFormat="1" ht="75" customHeight="1" thickBot="1">
      <c r="A19" s="4" t="s">
        <v>292</v>
      </c>
      <c r="B19" s="143" t="s">
        <v>410</v>
      </c>
      <c r="C19" s="143" t="s">
        <v>411</v>
      </c>
      <c r="D19" s="143" t="s">
        <v>412</v>
      </c>
      <c r="E19" s="143" t="s">
        <v>413</v>
      </c>
    </row>
    <row r="20" spans="1:5" s="31" customFormat="1" ht="19.5" thickBot="1">
      <c r="A20" s="142">
        <v>1</v>
      </c>
      <c r="B20" s="144">
        <v>2</v>
      </c>
      <c r="C20" s="144">
        <v>3</v>
      </c>
      <c r="D20" s="144">
        <v>4</v>
      </c>
      <c r="E20" s="144">
        <v>5</v>
      </c>
    </row>
    <row r="21" spans="1:5" s="31" customFormat="1" ht="19.5" thickBot="1">
      <c r="A21" s="142">
        <v>1</v>
      </c>
      <c r="B21" s="144" t="s">
        <v>414</v>
      </c>
      <c r="C21" s="144"/>
      <c r="D21" s="144"/>
      <c r="E21" s="6"/>
    </row>
    <row r="22" spans="1:5" s="31" customFormat="1" ht="19.5" thickBot="1">
      <c r="A22" s="142"/>
      <c r="B22" s="144" t="s">
        <v>50</v>
      </c>
      <c r="C22" s="144"/>
      <c r="D22" s="144"/>
      <c r="E22" s="6">
        <v>0</v>
      </c>
    </row>
    <row r="23" spans="1:5" s="31" customFormat="1" ht="20.25" customHeight="1" thickBot="1">
      <c r="A23" s="142"/>
      <c r="B23" s="144" t="s">
        <v>489</v>
      </c>
      <c r="C23" s="144">
        <v>0</v>
      </c>
      <c r="D23" s="144">
        <v>0</v>
      </c>
      <c r="E23" s="6">
        <f>C23*D23*9</f>
        <v>0</v>
      </c>
    </row>
    <row r="24" spans="1:5" s="31" customFormat="1" ht="19.5" thickBot="1">
      <c r="A24" s="142"/>
      <c r="B24" s="135" t="s">
        <v>307</v>
      </c>
      <c r="C24" s="5" t="s">
        <v>313</v>
      </c>
      <c r="D24" s="5" t="s">
        <v>313</v>
      </c>
      <c r="E24" s="9">
        <f>E23</f>
        <v>0</v>
      </c>
    </row>
    <row r="25" s="31" customFormat="1" ht="15"/>
    <row r="26" spans="1:162" s="24" customFormat="1" ht="10.5">
      <c r="A26" s="630" t="s">
        <v>41</v>
      </c>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0"/>
      <c r="CJ26" s="630"/>
      <c r="CK26" s="630"/>
      <c r="CL26" s="630"/>
      <c r="CM26" s="630"/>
      <c r="CN26" s="630"/>
      <c r="CO26" s="630"/>
      <c r="CP26" s="630"/>
      <c r="CQ26" s="630"/>
      <c r="CR26" s="630"/>
      <c r="CS26" s="630"/>
      <c r="CT26" s="630"/>
      <c r="CU26" s="630"/>
      <c r="CV26" s="630"/>
      <c r="CW26" s="630"/>
      <c r="CX26" s="630"/>
      <c r="CY26" s="630"/>
      <c r="CZ26" s="630"/>
      <c r="DA26" s="630"/>
      <c r="DB26" s="630"/>
      <c r="DC26" s="630"/>
      <c r="DD26" s="630"/>
      <c r="DE26" s="630"/>
      <c r="DF26" s="630"/>
      <c r="DG26" s="630"/>
      <c r="DH26" s="630"/>
      <c r="DI26" s="630"/>
      <c r="DJ26" s="630"/>
      <c r="DK26" s="630"/>
      <c r="DL26" s="630"/>
      <c r="DM26" s="630"/>
      <c r="DN26" s="630"/>
      <c r="DO26" s="630"/>
      <c r="DP26" s="630"/>
      <c r="DQ26" s="630"/>
      <c r="DR26" s="630"/>
      <c r="DS26" s="630"/>
      <c r="DT26" s="630"/>
      <c r="DU26" s="630"/>
      <c r="DV26" s="630"/>
      <c r="DW26" s="630"/>
      <c r="DX26" s="630"/>
      <c r="DY26" s="630"/>
      <c r="DZ26" s="630"/>
      <c r="EA26" s="630"/>
      <c r="EB26" s="630"/>
      <c r="EC26" s="630"/>
      <c r="ED26" s="630"/>
      <c r="EE26" s="630"/>
      <c r="EF26" s="630"/>
      <c r="EG26" s="630"/>
      <c r="EH26" s="630"/>
      <c r="EI26" s="630"/>
      <c r="EJ26" s="630"/>
      <c r="EK26" s="630"/>
      <c r="EL26" s="630"/>
      <c r="EM26" s="630"/>
      <c r="EN26" s="630"/>
      <c r="EO26" s="630"/>
      <c r="EP26" s="630"/>
      <c r="EQ26" s="630"/>
      <c r="ER26" s="630"/>
      <c r="ES26" s="630"/>
      <c r="ET26" s="630"/>
      <c r="EU26" s="630"/>
      <c r="EV26" s="630"/>
      <c r="EW26" s="630"/>
      <c r="EX26" s="630"/>
      <c r="EY26" s="630"/>
      <c r="EZ26" s="630"/>
      <c r="FA26" s="630"/>
      <c r="FB26" s="630"/>
      <c r="FC26" s="630"/>
      <c r="FD26" s="630"/>
      <c r="FE26" s="630"/>
      <c r="FF26" s="105"/>
    </row>
    <row r="27" spans="1:9" s="94" customFormat="1" ht="18.75">
      <c r="A27" s="783" t="s">
        <v>493</v>
      </c>
      <c r="B27" s="783"/>
      <c r="C27" s="783"/>
      <c r="D27" s="783"/>
      <c r="E27" s="783"/>
      <c r="F27" s="783"/>
      <c r="G27" s="783"/>
      <c r="H27" s="783"/>
      <c r="I27" s="783"/>
    </row>
    <row r="28" spans="1:9" s="94" customFormat="1" ht="18.75">
      <c r="A28" s="154" t="s">
        <v>586</v>
      </c>
      <c r="B28" s="154"/>
      <c r="C28" s="154"/>
      <c r="D28" s="154"/>
      <c r="E28" s="154"/>
      <c r="F28" s="154"/>
      <c r="G28" s="154"/>
      <c r="H28" s="154"/>
      <c r="I28" s="154"/>
    </row>
    <row r="29" spans="1:9" s="94" customFormat="1" ht="18.75">
      <c r="A29" s="781" t="s">
        <v>492</v>
      </c>
      <c r="B29" s="781"/>
      <c r="C29" s="781"/>
      <c r="D29" s="781"/>
      <c r="E29" s="781"/>
      <c r="F29" s="781"/>
      <c r="G29" s="781"/>
      <c r="H29" s="781"/>
      <c r="I29" s="781"/>
    </row>
    <row r="30" spans="1:9" s="94" customFormat="1" ht="18.75">
      <c r="A30" s="149"/>
      <c r="B30" s="149"/>
      <c r="C30" s="149"/>
      <c r="D30" s="149"/>
      <c r="E30" s="149"/>
      <c r="F30" s="149"/>
      <c r="G30" s="149"/>
      <c r="H30" s="149"/>
      <c r="I30" s="149"/>
    </row>
    <row r="31" spans="1:7" s="94" customFormat="1" ht="18.75">
      <c r="A31" s="155" t="s">
        <v>587</v>
      </c>
      <c r="G31" s="98"/>
    </row>
    <row r="32" s="31" customFormat="1" ht="15.75" thickBot="1">
      <c r="G32" s="34"/>
    </row>
    <row r="33" spans="1:9" s="31" customFormat="1" ht="66.75" customHeight="1" thickBot="1">
      <c r="A33" s="4" t="s">
        <v>292</v>
      </c>
      <c r="B33" s="143" t="s">
        <v>415</v>
      </c>
      <c r="C33" s="143" t="s">
        <v>416</v>
      </c>
      <c r="D33" s="143" t="s">
        <v>490</v>
      </c>
      <c r="E33" s="143" t="s">
        <v>417</v>
      </c>
      <c r="I33" s="34"/>
    </row>
    <row r="34" spans="1:5" s="31" customFormat="1" ht="19.5" thickBot="1">
      <c r="A34" s="142">
        <v>1</v>
      </c>
      <c r="B34" s="144">
        <v>2</v>
      </c>
      <c r="C34" s="144">
        <v>3</v>
      </c>
      <c r="D34" s="144">
        <v>4</v>
      </c>
      <c r="E34" s="144">
        <v>5</v>
      </c>
    </row>
    <row r="35" spans="1:161" s="31" customFormat="1" ht="39.75" customHeight="1" thickBot="1">
      <c r="A35" s="142">
        <v>1</v>
      </c>
      <c r="B35" s="144" t="s">
        <v>509</v>
      </c>
      <c r="C35" s="29">
        <v>250</v>
      </c>
      <c r="D35" s="144">
        <v>15</v>
      </c>
      <c r="E35" s="6">
        <f>C35*D35*8*9</f>
        <v>270000</v>
      </c>
      <c r="CN35" s="755"/>
      <c r="CO35" s="755"/>
      <c r="CP35" s="755"/>
      <c r="CQ35" s="755"/>
      <c r="CR35" s="755"/>
      <c r="CS35" s="755"/>
      <c r="CT35" s="755"/>
      <c r="CU35" s="755"/>
      <c r="CV35" s="756"/>
      <c r="CW35" s="756"/>
      <c r="CX35" s="756"/>
      <c r="CY35" s="756"/>
      <c r="CZ35" s="756"/>
      <c r="DA35" s="756"/>
      <c r="DB35" s="756"/>
      <c r="DC35" s="756"/>
      <c r="DD35" s="756"/>
      <c r="DE35" s="756"/>
      <c r="DF35" s="756"/>
      <c r="DG35" s="756"/>
      <c r="DH35" s="756"/>
      <c r="DI35" s="756"/>
      <c r="DJ35" s="756"/>
      <c r="DK35" s="756"/>
      <c r="DL35" s="756"/>
      <c r="DM35" s="756"/>
      <c r="DN35" s="756"/>
      <c r="DO35" s="756"/>
      <c r="DP35" s="756"/>
      <c r="DQ35" s="756"/>
      <c r="DR35" s="756"/>
      <c r="DS35" s="756"/>
      <c r="DT35" s="756"/>
      <c r="DU35" s="756"/>
      <c r="DV35" s="756"/>
      <c r="DW35" s="756"/>
      <c r="DX35" s="756"/>
      <c r="DY35" s="756"/>
      <c r="DZ35" s="756"/>
      <c r="EA35" s="756"/>
      <c r="EB35" s="756"/>
      <c r="EC35" s="756"/>
      <c r="ED35" s="756"/>
      <c r="EE35" s="756"/>
      <c r="EF35" s="756"/>
      <c r="EG35" s="756"/>
      <c r="EH35" s="756"/>
      <c r="EI35" s="756"/>
      <c r="EJ35" s="756"/>
      <c r="EK35" s="756"/>
      <c r="EL35" s="756"/>
      <c r="EM35" s="756"/>
      <c r="EN35" s="756"/>
      <c r="EO35" s="756"/>
      <c r="EP35" s="756"/>
      <c r="EQ35" s="756"/>
      <c r="ER35" s="756"/>
      <c r="ES35" s="756"/>
      <c r="ET35" s="756"/>
      <c r="EU35" s="756"/>
      <c r="EV35" s="756"/>
      <c r="EW35" s="756"/>
      <c r="EX35" s="756"/>
      <c r="EY35" s="756"/>
      <c r="EZ35" s="756"/>
      <c r="FA35" s="756"/>
      <c r="FB35" s="756"/>
      <c r="FC35" s="756"/>
      <c r="FD35" s="756"/>
      <c r="FE35" s="756"/>
    </row>
    <row r="36" spans="1:161" s="31" customFormat="1" ht="19.5" thickBot="1">
      <c r="A36" s="142">
        <v>2</v>
      </c>
      <c r="B36" s="144" t="s">
        <v>510</v>
      </c>
      <c r="C36" s="29">
        <v>258</v>
      </c>
      <c r="D36" s="144">
        <v>10</v>
      </c>
      <c r="E36" s="6">
        <f>C36*D36*8*9</f>
        <v>185760</v>
      </c>
      <c r="CN36" s="755"/>
      <c r="CO36" s="755"/>
      <c r="CP36" s="755"/>
      <c r="CQ36" s="755"/>
      <c r="CR36" s="755"/>
      <c r="CS36" s="755"/>
      <c r="CT36" s="755"/>
      <c r="CU36" s="755"/>
      <c r="CV36" s="757">
        <v>2024</v>
      </c>
      <c r="CW36" s="757"/>
      <c r="CX36" s="757"/>
      <c r="CY36" s="757"/>
      <c r="CZ36" s="757"/>
      <c r="DA36" s="757"/>
      <c r="DB36" s="757"/>
      <c r="DC36" s="757"/>
      <c r="DD36" s="757"/>
      <c r="DE36" s="757"/>
      <c r="DF36" s="757"/>
      <c r="DG36" s="757"/>
      <c r="DH36" s="757"/>
      <c r="DI36" s="757"/>
      <c r="DJ36" s="757"/>
      <c r="DK36" s="757"/>
      <c r="DL36" s="757"/>
      <c r="DM36" s="757"/>
      <c r="DN36" s="757"/>
      <c r="DO36" s="757"/>
      <c r="DP36" s="757"/>
      <c r="DQ36" s="757"/>
      <c r="DR36" s="757"/>
      <c r="DS36" s="757"/>
      <c r="DT36" s="757"/>
      <c r="DU36" s="757"/>
      <c r="DV36" s="757"/>
      <c r="DW36" s="757"/>
      <c r="DX36" s="757"/>
      <c r="DY36" s="757"/>
      <c r="DZ36" s="757"/>
      <c r="EA36" s="757"/>
      <c r="EB36" s="757"/>
      <c r="EC36" s="757"/>
      <c r="ED36" s="757"/>
      <c r="EE36" s="757"/>
      <c r="EF36" s="757">
        <f>EF12</f>
        <v>0</v>
      </c>
      <c r="EG36" s="757"/>
      <c r="EH36" s="757"/>
      <c r="EI36" s="757"/>
      <c r="EJ36" s="757"/>
      <c r="EK36" s="757"/>
      <c r="EL36" s="757"/>
      <c r="EM36" s="757"/>
      <c r="EN36" s="757"/>
      <c r="EO36" s="757"/>
      <c r="EP36" s="757"/>
      <c r="EQ36" s="757"/>
      <c r="ER36" s="757"/>
      <c r="ES36" s="757"/>
      <c r="ET36" s="757"/>
      <c r="EU36" s="757"/>
      <c r="EV36" s="757"/>
      <c r="EW36" s="757"/>
      <c r="EX36" s="757"/>
      <c r="EY36" s="757"/>
      <c r="EZ36" s="757"/>
      <c r="FA36" s="757"/>
      <c r="FB36" s="757"/>
      <c r="FC36" s="757"/>
      <c r="FD36" s="757"/>
      <c r="FE36" s="757"/>
    </row>
    <row r="37" spans="1:5" s="31" customFormat="1" ht="19.5" thickBot="1">
      <c r="A37" s="142">
        <v>3</v>
      </c>
      <c r="B37" s="144" t="s">
        <v>511</v>
      </c>
      <c r="C37" s="29">
        <v>258</v>
      </c>
      <c r="D37" s="144">
        <v>10</v>
      </c>
      <c r="E37" s="6">
        <f>C37*D37*8*9</f>
        <v>185760</v>
      </c>
    </row>
    <row r="38" spans="1:5" s="31" customFormat="1" ht="19.5" thickBot="1">
      <c r="A38" s="142">
        <v>4</v>
      </c>
      <c r="B38" s="144" t="s">
        <v>512</v>
      </c>
      <c r="C38" s="29">
        <v>258</v>
      </c>
      <c r="D38" s="144">
        <v>10</v>
      </c>
      <c r="E38" s="6">
        <f>C38*D38*8*9</f>
        <v>185760</v>
      </c>
    </row>
    <row r="39" spans="1:77" s="31" customFormat="1" ht="19.5" thickBot="1">
      <c r="A39" s="142"/>
      <c r="B39" s="135" t="s">
        <v>307</v>
      </c>
      <c r="C39" s="5" t="s">
        <v>313</v>
      </c>
      <c r="D39" s="5" t="s">
        <v>313</v>
      </c>
      <c r="E39" s="9">
        <f>E38+E37+E36+E35</f>
        <v>827280</v>
      </c>
      <c r="BY39" s="31" t="s">
        <v>582</v>
      </c>
    </row>
    <row r="40" s="31" customFormat="1" ht="15"/>
    <row r="41" spans="1:9" s="94" customFormat="1" ht="20.25">
      <c r="A41" s="772" t="s">
        <v>588</v>
      </c>
      <c r="B41" s="772"/>
      <c r="C41" s="772"/>
      <c r="D41" s="772"/>
      <c r="E41" s="772"/>
      <c r="F41" s="772"/>
      <c r="G41" s="772"/>
      <c r="H41" s="772"/>
      <c r="I41" s="772"/>
    </row>
    <row r="42" spans="1:9" s="94" customFormat="1" ht="19.5" customHeight="1" thickBot="1">
      <c r="A42" s="781"/>
      <c r="B42" s="781"/>
      <c r="C42" s="781"/>
      <c r="D42" s="781"/>
      <c r="E42" s="781"/>
      <c r="F42" s="781"/>
      <c r="G42" s="781"/>
      <c r="H42" s="781"/>
      <c r="I42" s="781"/>
    </row>
    <row r="43" spans="1:9" s="94" customFormat="1" ht="75" customHeight="1" thickBot="1">
      <c r="A43" s="146" t="s">
        <v>292</v>
      </c>
      <c r="B43" s="773" t="s">
        <v>589</v>
      </c>
      <c r="C43" s="774"/>
      <c r="D43" s="775"/>
      <c r="E43" s="147" t="s">
        <v>590</v>
      </c>
      <c r="I43" s="98"/>
    </row>
    <row r="44" spans="1:5" s="94" customFormat="1" ht="19.5" thickBot="1">
      <c r="A44" s="96">
        <v>1</v>
      </c>
      <c r="B44" s="773">
        <v>2</v>
      </c>
      <c r="C44" s="774"/>
      <c r="D44" s="775"/>
      <c r="E44" s="156">
        <v>3</v>
      </c>
    </row>
    <row r="45" spans="1:10" s="94" customFormat="1" ht="49.5" customHeight="1" thickBot="1">
      <c r="A45" s="97" t="s">
        <v>591</v>
      </c>
      <c r="B45" s="776" t="s">
        <v>592</v>
      </c>
      <c r="C45" s="777"/>
      <c r="D45" s="778"/>
      <c r="E45" s="157">
        <f>'стр.1_4'!DS36</f>
        <v>92908020.3</v>
      </c>
      <c r="J45" s="158"/>
    </row>
    <row r="46" spans="1:10" s="94" customFormat="1" ht="21">
      <c r="A46" s="95"/>
      <c r="B46" s="95"/>
      <c r="C46" s="95"/>
      <c r="D46" s="95"/>
      <c r="E46" s="159"/>
      <c r="J46" s="158"/>
    </row>
    <row r="47" s="94" customFormat="1" ht="18.75">
      <c r="A47" s="155" t="s">
        <v>593</v>
      </c>
    </row>
    <row r="48" s="31" customFormat="1" ht="15.75" thickBot="1"/>
    <row r="49" spans="1:8" s="31" customFormat="1" ht="19.5" thickBot="1">
      <c r="A49" s="709" t="s">
        <v>292</v>
      </c>
      <c r="B49" s="709" t="s">
        <v>415</v>
      </c>
      <c r="C49" s="706" t="s">
        <v>430</v>
      </c>
      <c r="D49" s="708"/>
      <c r="E49" s="706" t="s">
        <v>431</v>
      </c>
      <c r="F49" s="708"/>
      <c r="G49" s="753" t="s">
        <v>432</v>
      </c>
      <c r="H49" s="709" t="s">
        <v>433</v>
      </c>
    </row>
    <row r="50" spans="1:8" s="31" customFormat="1" ht="41.25" customHeight="1" thickBot="1">
      <c r="A50" s="711"/>
      <c r="B50" s="711"/>
      <c r="C50" s="144" t="s">
        <v>434</v>
      </c>
      <c r="D50" s="144" t="s">
        <v>435</v>
      </c>
      <c r="E50" s="142" t="s">
        <v>434</v>
      </c>
      <c r="F50" s="13" t="s">
        <v>436</v>
      </c>
      <c r="G50" s="754"/>
      <c r="H50" s="711"/>
    </row>
    <row r="51" spans="1:8" s="31" customFormat="1" ht="20.25" customHeight="1" thickBot="1">
      <c r="A51" s="142"/>
      <c r="B51" s="144">
        <v>1</v>
      </c>
      <c r="C51" s="144">
        <v>2</v>
      </c>
      <c r="D51" s="144">
        <v>3</v>
      </c>
      <c r="E51" s="142">
        <v>4</v>
      </c>
      <c r="F51" s="35">
        <v>5</v>
      </c>
      <c r="G51" s="36">
        <v>6</v>
      </c>
      <c r="H51" s="35">
        <v>7</v>
      </c>
    </row>
    <row r="52" spans="1:8" s="31" customFormat="1" ht="19.5" thickBot="1">
      <c r="A52" s="15" t="s">
        <v>11</v>
      </c>
      <c r="B52" s="10" t="s">
        <v>561</v>
      </c>
      <c r="C52" s="20">
        <v>61.8667689000202</v>
      </c>
      <c r="D52" s="16" t="s">
        <v>497</v>
      </c>
      <c r="E52" s="14">
        <v>80</v>
      </c>
      <c r="F52" s="14">
        <v>93</v>
      </c>
      <c r="G52" s="6">
        <v>150</v>
      </c>
      <c r="H52" s="14">
        <f>((C52*E52)+(D52*F52))*150</f>
        <v>909801.2268002424</v>
      </c>
    </row>
    <row r="53" spans="1:8" s="31" customFormat="1" ht="19.5" thickBot="1">
      <c r="A53" s="15" t="s">
        <v>12</v>
      </c>
      <c r="B53" s="10" t="s">
        <v>437</v>
      </c>
      <c r="C53" s="20">
        <v>32.043</v>
      </c>
      <c r="D53" s="16" t="s">
        <v>498</v>
      </c>
      <c r="E53" s="14">
        <v>129</v>
      </c>
      <c r="F53" s="14">
        <v>157</v>
      </c>
      <c r="G53" s="6">
        <v>150</v>
      </c>
      <c r="H53" s="14">
        <f>((C53*E53)+(D53*F53))*150-2.52</f>
        <v>996829.5299999999</v>
      </c>
    </row>
    <row r="54" spans="1:11" s="31" customFormat="1" ht="19.5" thickBot="1">
      <c r="A54" s="15" t="s">
        <v>13</v>
      </c>
      <c r="B54" s="10" t="s">
        <v>438</v>
      </c>
      <c r="C54" s="20">
        <v>10</v>
      </c>
      <c r="D54" s="16">
        <v>0</v>
      </c>
      <c r="E54" s="14">
        <v>87</v>
      </c>
      <c r="F54" s="14">
        <v>96</v>
      </c>
      <c r="G54" s="6">
        <v>150</v>
      </c>
      <c r="H54" s="14">
        <f>((C54*E54)+(D54*F54))*150</f>
        <v>130500</v>
      </c>
      <c r="J54" s="37"/>
      <c r="K54" s="38"/>
    </row>
    <row r="55" spans="1:8" s="31" customFormat="1" ht="19.5" thickBot="1">
      <c r="A55" s="11"/>
      <c r="B55" s="135" t="s">
        <v>445</v>
      </c>
      <c r="C55" s="5"/>
      <c r="D55" s="7"/>
      <c r="E55" s="17"/>
      <c r="F55" s="39"/>
      <c r="G55" s="39"/>
      <c r="H55" s="40">
        <f>H54+H53+H52</f>
        <v>2037130.7568002422</v>
      </c>
    </row>
    <row r="56" s="31" customFormat="1" ht="15"/>
    <row r="57" spans="1:9" ht="18.75" hidden="1">
      <c r="A57" s="752" t="s">
        <v>522</v>
      </c>
      <c r="B57" s="752"/>
      <c r="C57" s="752"/>
      <c r="D57" s="752"/>
      <c r="E57" s="752"/>
      <c r="F57" s="752"/>
      <c r="G57" s="752"/>
      <c r="H57" s="752"/>
      <c r="I57" s="752"/>
    </row>
    <row r="58" spans="1:9" ht="18.75" hidden="1">
      <c r="A58" s="720" t="s">
        <v>523</v>
      </c>
      <c r="B58" s="720"/>
      <c r="C58" s="720"/>
      <c r="D58" s="720"/>
      <c r="E58" s="720"/>
      <c r="F58" s="720"/>
      <c r="G58" s="720"/>
      <c r="H58" s="720"/>
      <c r="I58" s="720"/>
    </row>
    <row r="59" ht="15" hidden="1"/>
    <row r="60" spans="1:5" ht="32.25" customHeight="1" hidden="1">
      <c r="A60" s="4" t="s">
        <v>292</v>
      </c>
      <c r="B60" s="143" t="s">
        <v>524</v>
      </c>
      <c r="C60" s="143"/>
      <c r="D60" s="143"/>
      <c r="E60" s="143" t="s">
        <v>10</v>
      </c>
    </row>
    <row r="61" spans="1:5" ht="19.5" hidden="1" thickBot="1">
      <c r="A61" s="142">
        <v>1</v>
      </c>
      <c r="B61" s="144">
        <v>2</v>
      </c>
      <c r="C61" s="144">
        <v>3</v>
      </c>
      <c r="D61" s="144">
        <v>4</v>
      </c>
      <c r="E61" s="144">
        <v>5</v>
      </c>
    </row>
    <row r="62" spans="1:5" ht="37.5" customHeight="1" hidden="1">
      <c r="A62" s="142">
        <v>1</v>
      </c>
      <c r="B62" s="144" t="s">
        <v>525</v>
      </c>
      <c r="C62" s="144"/>
      <c r="D62" s="144"/>
      <c r="E62" s="6"/>
    </row>
    <row r="63" spans="1:5" ht="19.5" hidden="1" thickBot="1">
      <c r="A63" s="142"/>
      <c r="B63" s="135" t="s">
        <v>307</v>
      </c>
      <c r="C63" s="5" t="s">
        <v>313</v>
      </c>
      <c r="D63" s="5" t="s">
        <v>313</v>
      </c>
      <c r="E63" s="9">
        <f>E62</f>
        <v>0</v>
      </c>
    </row>
    <row r="64" spans="1:9" ht="18.75" hidden="1">
      <c r="A64" s="752" t="s">
        <v>554</v>
      </c>
      <c r="B64" s="752"/>
      <c r="C64" s="752"/>
      <c r="D64" s="752"/>
      <c r="E64" s="752"/>
      <c r="F64" s="752"/>
      <c r="G64" s="752"/>
      <c r="H64" s="752"/>
      <c r="I64" s="752"/>
    </row>
    <row r="65" spans="1:9" ht="18.75" hidden="1">
      <c r="A65" s="720" t="s">
        <v>523</v>
      </c>
      <c r="B65" s="720"/>
      <c r="C65" s="720"/>
      <c r="D65" s="720"/>
      <c r="E65" s="720"/>
      <c r="F65" s="720"/>
      <c r="G65" s="720"/>
      <c r="H65" s="720"/>
      <c r="I65" s="720"/>
    </row>
    <row r="66" ht="15" hidden="1"/>
    <row r="67" spans="1:5" ht="128.25" customHeight="1" hidden="1">
      <c r="A67" s="4" t="s">
        <v>292</v>
      </c>
      <c r="B67" s="143" t="s">
        <v>524</v>
      </c>
      <c r="C67" s="4" t="s">
        <v>555</v>
      </c>
      <c r="D67" s="45"/>
      <c r="E67" s="45"/>
    </row>
    <row r="68" spans="1:5" ht="19.5" hidden="1" thickBot="1">
      <c r="A68" s="142">
        <v>1</v>
      </c>
      <c r="B68" s="144">
        <v>2</v>
      </c>
      <c r="C68" s="142">
        <v>3</v>
      </c>
      <c r="D68" s="45"/>
      <c r="E68" s="45"/>
    </row>
    <row r="69" spans="1:5" ht="27" customHeight="1" hidden="1">
      <c r="A69" s="142">
        <v>1</v>
      </c>
      <c r="B69" s="144" t="s">
        <v>556</v>
      </c>
      <c r="C69" s="90">
        <v>0</v>
      </c>
      <c r="D69" s="45"/>
      <c r="E69" s="91"/>
    </row>
    <row r="70" spans="1:5" ht="27" customHeight="1" hidden="1">
      <c r="A70" s="142"/>
      <c r="B70" s="144"/>
      <c r="C70" s="90">
        <v>0</v>
      </c>
      <c r="D70" s="45"/>
      <c r="E70" s="91"/>
    </row>
    <row r="71" spans="1:5" ht="27" customHeight="1" hidden="1">
      <c r="A71" s="142"/>
      <c r="B71" s="135" t="s">
        <v>307</v>
      </c>
      <c r="C71" s="92">
        <f>C69+C70</f>
        <v>0</v>
      </c>
      <c r="D71" s="150"/>
      <c r="E71" s="89"/>
    </row>
    <row r="72" spans="1:6" s="94" customFormat="1" ht="22.5">
      <c r="A72" s="153" t="s">
        <v>594</v>
      </c>
      <c r="B72" s="153"/>
      <c r="C72" s="153"/>
      <c r="D72" s="153"/>
      <c r="E72" s="153"/>
      <c r="F72" s="153"/>
    </row>
    <row r="73" spans="1:9" s="94" customFormat="1" ht="27.75" customHeight="1">
      <c r="A73" s="779" t="s">
        <v>595</v>
      </c>
      <c r="B73" s="780"/>
      <c r="C73" s="780"/>
      <c r="D73" s="780"/>
      <c r="E73" s="780"/>
      <c r="F73" s="780"/>
      <c r="G73" s="780"/>
      <c r="H73" s="780"/>
      <c r="I73" s="780"/>
    </row>
    <row r="74" spans="1:9" s="94" customFormat="1" ht="20.25">
      <c r="A74" s="772" t="s">
        <v>596</v>
      </c>
      <c r="B74" s="772"/>
      <c r="C74" s="772"/>
      <c r="D74" s="772"/>
      <c r="E74" s="772"/>
      <c r="F74" s="772"/>
      <c r="G74" s="772"/>
      <c r="H74" s="772"/>
      <c r="I74" s="772"/>
    </row>
    <row r="75" spans="1:5" s="94" customFormat="1" ht="19.5" thickBot="1">
      <c r="A75" s="95"/>
      <c r="B75" s="99"/>
      <c r="C75" s="148"/>
      <c r="D75" s="148"/>
      <c r="E75" s="160"/>
    </row>
    <row r="76" spans="1:9" s="94" customFormat="1" ht="62.25" customHeight="1" thickBot="1">
      <c r="A76" s="97" t="s">
        <v>292</v>
      </c>
      <c r="B76" s="773" t="s">
        <v>597</v>
      </c>
      <c r="C76" s="774"/>
      <c r="D76" s="775"/>
      <c r="E76" s="147" t="s">
        <v>10</v>
      </c>
      <c r="I76" s="98"/>
    </row>
    <row r="77" spans="1:5" s="94" customFormat="1" ht="19.5" thickBot="1">
      <c r="A77" s="145">
        <v>1</v>
      </c>
      <c r="B77" s="776">
        <v>2</v>
      </c>
      <c r="C77" s="777"/>
      <c r="D77" s="778"/>
      <c r="E77" s="156">
        <v>3</v>
      </c>
    </row>
    <row r="78" spans="1:10" ht="19.5" customHeight="1" thickBot="1">
      <c r="A78" s="142">
        <v>1</v>
      </c>
      <c r="B78" s="746" t="s">
        <v>603</v>
      </c>
      <c r="C78" s="747"/>
      <c r="D78" s="748"/>
      <c r="E78" s="162">
        <v>976208</v>
      </c>
      <c r="J78" s="163"/>
    </row>
    <row r="79" spans="1:5" ht="19.5" customHeight="1" thickBot="1">
      <c r="A79" s="142">
        <v>2</v>
      </c>
      <c r="B79" s="706" t="s">
        <v>602</v>
      </c>
      <c r="C79" s="707"/>
      <c r="D79" s="708"/>
      <c r="E79" s="164">
        <v>1325000</v>
      </c>
    </row>
    <row r="80" spans="1:5" ht="19.5" customHeight="1" thickBot="1">
      <c r="A80" s="142">
        <v>3</v>
      </c>
      <c r="B80" s="706" t="s">
        <v>604</v>
      </c>
      <c r="C80" s="707"/>
      <c r="D80" s="708"/>
      <c r="E80" s="164">
        <f>6353475+38700</f>
        <v>6392175</v>
      </c>
    </row>
    <row r="81" spans="1:5" ht="19.5" customHeight="1" hidden="1" thickBot="1">
      <c r="A81" s="142">
        <v>4</v>
      </c>
      <c r="B81" s="706" t="s">
        <v>600</v>
      </c>
      <c r="C81" s="707"/>
      <c r="D81" s="708"/>
      <c r="E81" s="164">
        <v>0</v>
      </c>
    </row>
    <row r="82" spans="1:5" ht="19.5" customHeight="1" hidden="1" thickBot="1">
      <c r="A82" s="142">
        <v>5</v>
      </c>
      <c r="B82" s="706" t="s">
        <v>601</v>
      </c>
      <c r="C82" s="707"/>
      <c r="D82" s="708"/>
      <c r="E82" s="164">
        <v>0</v>
      </c>
    </row>
    <row r="83" spans="1:5" ht="19.5" customHeight="1" hidden="1" thickBot="1">
      <c r="A83" s="142">
        <v>6</v>
      </c>
      <c r="B83" s="706" t="s">
        <v>599</v>
      </c>
      <c r="C83" s="707"/>
      <c r="D83" s="708"/>
      <c r="E83" s="164">
        <v>0</v>
      </c>
    </row>
    <row r="84" spans="1:5" ht="19.5" customHeight="1" thickBot="1">
      <c r="A84" s="142">
        <v>4</v>
      </c>
      <c r="B84" s="706" t="s">
        <v>598</v>
      </c>
      <c r="C84" s="707"/>
      <c r="D84" s="708"/>
      <c r="E84" s="164">
        <v>3289725</v>
      </c>
    </row>
    <row r="85" spans="1:10" s="94" customFormat="1" ht="33" customHeight="1" thickBot="1">
      <c r="A85" s="145"/>
      <c r="B85" s="769" t="s">
        <v>307</v>
      </c>
      <c r="C85" s="770"/>
      <c r="D85" s="771"/>
      <c r="E85" s="161">
        <f>SUM(E78:E84)</f>
        <v>11983108</v>
      </c>
      <c r="J85" s="98">
        <f>19917611-E85</f>
        <v>7934503</v>
      </c>
    </row>
    <row r="86" spans="1:9" s="88" customFormat="1" ht="18.75">
      <c r="A86" s="720"/>
      <c r="B86" s="720"/>
      <c r="C86" s="720"/>
      <c r="D86" s="720"/>
      <c r="E86" s="720"/>
      <c r="F86" s="720"/>
      <c r="G86" s="720"/>
      <c r="H86" s="720"/>
      <c r="I86" s="720"/>
    </row>
    <row r="88" spans="1:9" ht="18.75">
      <c r="A88" s="720"/>
      <c r="B88" s="720"/>
      <c r="C88" s="720"/>
      <c r="D88" s="720"/>
      <c r="E88" s="720"/>
      <c r="F88" s="720"/>
      <c r="G88" s="720"/>
      <c r="H88" s="720"/>
      <c r="I88" s="720"/>
    </row>
  </sheetData>
  <sheetProtection/>
  <mergeCells count="46">
    <mergeCell ref="A12:I12"/>
    <mergeCell ref="A15:I15"/>
    <mergeCell ref="A17:I17"/>
    <mergeCell ref="A26:FE26"/>
    <mergeCell ref="A27:I27"/>
    <mergeCell ref="A88:I88"/>
    <mergeCell ref="A29:I29"/>
    <mergeCell ref="CN35:CU36"/>
    <mergeCell ref="CV35:DE35"/>
    <mergeCell ref="DF35:DR35"/>
    <mergeCell ref="DS35:EE35"/>
    <mergeCell ref="EF35:ER35"/>
    <mergeCell ref="ES35:FE35"/>
    <mergeCell ref="CV36:DE36"/>
    <mergeCell ref="DF36:DR36"/>
    <mergeCell ref="DS36:EE36"/>
    <mergeCell ref="EF36:ER36"/>
    <mergeCell ref="ES36:FE36"/>
    <mergeCell ref="A41:I41"/>
    <mergeCell ref="A42:I42"/>
    <mergeCell ref="B43:D43"/>
    <mergeCell ref="B44:D44"/>
    <mergeCell ref="B45:D45"/>
    <mergeCell ref="A49:A50"/>
    <mergeCell ref="B49:B50"/>
    <mergeCell ref="C49:D49"/>
    <mergeCell ref="E49:F49"/>
    <mergeCell ref="G49:G50"/>
    <mergeCell ref="H49:H50"/>
    <mergeCell ref="A57:I57"/>
    <mergeCell ref="A58:I58"/>
    <mergeCell ref="A64:I64"/>
    <mergeCell ref="A65:I65"/>
    <mergeCell ref="A73:I73"/>
    <mergeCell ref="A74:I74"/>
    <mergeCell ref="B76:D76"/>
    <mergeCell ref="B77:D77"/>
    <mergeCell ref="B78:D78"/>
    <mergeCell ref="B79:D79"/>
    <mergeCell ref="B80:D80"/>
    <mergeCell ref="B81:D81"/>
    <mergeCell ref="B82:D82"/>
    <mergeCell ref="B83:D83"/>
    <mergeCell ref="B84:D84"/>
    <mergeCell ref="B85:D85"/>
    <mergeCell ref="A86:I86"/>
  </mergeCells>
  <printOptions horizontalCentered="1"/>
  <pageMargins left="0.25" right="0.25" top="0.75" bottom="0.75" header="0.3" footer="0.3"/>
  <pageSetup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A235"/>
  <sheetViews>
    <sheetView view="pageBreakPreview" zoomScale="60" zoomScaleNormal="68" zoomScalePageLayoutView="0" workbookViewId="0" topLeftCell="A190">
      <selection activeCell="V241" sqref="V241"/>
    </sheetView>
  </sheetViews>
  <sheetFormatPr defaultColWidth="9.00390625" defaultRowHeight="12.75"/>
  <cols>
    <col min="1" max="1" width="8.625" style="1" customWidth="1"/>
    <col min="2" max="2" width="68.00390625" style="1" customWidth="1"/>
    <col min="3" max="3" width="21.625" style="1" customWidth="1"/>
    <col min="4" max="4" width="25.625" style="1" customWidth="1"/>
    <col min="5" max="5" width="27.75390625" style="1" customWidth="1"/>
    <col min="6" max="6" width="24.25390625" style="1" customWidth="1"/>
    <col min="7" max="7" width="23.625" style="1" customWidth="1"/>
    <col min="8" max="8" width="18.625" style="1" customWidth="1"/>
    <col min="9" max="9" width="17.125" style="1" customWidth="1"/>
    <col min="10" max="10" width="23.75390625" style="1" customWidth="1"/>
    <col min="11" max="11" width="23.75390625" style="1" hidden="1" customWidth="1"/>
    <col min="12" max="12" width="21.625" style="1" hidden="1" customWidth="1"/>
    <col min="13" max="13" width="25.875" style="1" hidden="1" customWidth="1"/>
    <col min="14" max="14" width="18.75390625" style="1" hidden="1" customWidth="1"/>
    <col min="15" max="15" width="28.00390625" style="1" hidden="1" customWidth="1"/>
    <col min="16" max="16" width="36.125" style="1" hidden="1" customWidth="1"/>
    <col min="17" max="17" width="16.75390625" style="1" hidden="1" customWidth="1"/>
    <col min="18" max="18" width="15.875" style="1" hidden="1" customWidth="1"/>
    <col min="19" max="19" width="14.25390625" style="1" hidden="1" customWidth="1"/>
    <col min="20" max="20" width="14.125" style="1" hidden="1" customWidth="1"/>
    <col min="21" max="21" width="10.625" style="1" hidden="1" customWidth="1"/>
    <col min="22" max="22" width="14.125" style="1" bestFit="1" customWidth="1"/>
    <col min="23" max="23" width="13.25390625" style="1" bestFit="1" customWidth="1"/>
    <col min="24" max="24" width="15.875" style="1" bestFit="1" customWidth="1"/>
    <col min="25" max="25" width="10.625" style="1" bestFit="1" customWidth="1"/>
    <col min="26" max="26" width="14.125" style="1" bestFit="1" customWidth="1"/>
    <col min="27" max="27" width="18.375" style="1" bestFit="1" customWidth="1"/>
    <col min="28" max="16384" width="9.125" style="1" customWidth="1"/>
  </cols>
  <sheetData>
    <row r="1" spans="10:11" ht="18.75">
      <c r="J1" s="2" t="s">
        <v>282</v>
      </c>
      <c r="K1" s="2"/>
    </row>
    <row r="2" spans="10:11" ht="18.75">
      <c r="J2" s="2" t="s">
        <v>283</v>
      </c>
      <c r="K2" s="2"/>
    </row>
    <row r="3" spans="10:11" ht="16.5">
      <c r="J3" s="3" t="s">
        <v>284</v>
      </c>
      <c r="K3" s="3"/>
    </row>
    <row r="4" spans="10:11" ht="16.5">
      <c r="J4" s="3" t="s">
        <v>285</v>
      </c>
      <c r="K4" s="3"/>
    </row>
    <row r="5" spans="10:11" ht="16.5">
      <c r="J5" s="3" t="s">
        <v>286</v>
      </c>
      <c r="K5" s="3"/>
    </row>
    <row r="6" spans="10:11" ht="16.5">
      <c r="J6" s="3" t="s">
        <v>287</v>
      </c>
      <c r="K6" s="3"/>
    </row>
    <row r="7" spans="10:11" ht="16.5">
      <c r="J7" s="3" t="s">
        <v>288</v>
      </c>
      <c r="K7" s="3"/>
    </row>
    <row r="8" spans="10:11" ht="16.5">
      <c r="J8" s="3" t="s">
        <v>392</v>
      </c>
      <c r="K8" s="3"/>
    </row>
    <row r="9" ht="15"/>
    <row r="10" spans="1:13" ht="15" customHeight="1">
      <c r="A10" s="712" t="s">
        <v>560</v>
      </c>
      <c r="B10" s="712"/>
      <c r="C10" s="712"/>
      <c r="D10" s="712"/>
      <c r="E10" s="712"/>
      <c r="F10" s="712"/>
      <c r="G10" s="712"/>
      <c r="H10" s="712"/>
      <c r="I10" s="712"/>
      <c r="J10" s="712"/>
      <c r="K10" s="180"/>
      <c r="M10" s="44"/>
    </row>
    <row r="11" spans="1:13" ht="18.75">
      <c r="A11" s="712" t="s">
        <v>393</v>
      </c>
      <c r="B11" s="712"/>
      <c r="C11" s="712"/>
      <c r="D11" s="712"/>
      <c r="E11" s="712"/>
      <c r="F11" s="712"/>
      <c r="G11" s="712"/>
      <c r="H11" s="712"/>
      <c r="I11" s="712"/>
      <c r="J11" s="712"/>
      <c r="K11" s="180"/>
      <c r="M11" s="44"/>
    </row>
    <row r="12" spans="1:20" ht="18.75">
      <c r="A12" s="713" t="s">
        <v>289</v>
      </c>
      <c r="B12" s="713"/>
      <c r="C12" s="713"/>
      <c r="D12" s="713"/>
      <c r="E12" s="713"/>
      <c r="F12" s="713"/>
      <c r="G12" s="713"/>
      <c r="H12" s="713"/>
      <c r="I12" s="713"/>
      <c r="J12" s="713"/>
      <c r="K12" s="181"/>
      <c r="P12" s="1" t="s">
        <v>290</v>
      </c>
      <c r="T12" s="1">
        <v>306500</v>
      </c>
    </row>
    <row r="13" spans="1:13" ht="21" customHeight="1">
      <c r="A13" s="713" t="s">
        <v>291</v>
      </c>
      <c r="B13" s="713"/>
      <c r="C13" s="713"/>
      <c r="D13" s="713"/>
      <c r="E13" s="713"/>
      <c r="F13" s="713"/>
      <c r="G13" s="713"/>
      <c r="H13" s="713"/>
      <c r="I13" s="713"/>
      <c r="J13" s="713"/>
      <c r="K13" s="181"/>
      <c r="M13" s="44"/>
    </row>
    <row r="14" spans="1:11" ht="19.5" thickBot="1">
      <c r="A14" s="712" t="s">
        <v>394</v>
      </c>
      <c r="B14" s="712"/>
      <c r="C14" s="712"/>
      <c r="D14" s="712"/>
      <c r="E14" s="712"/>
      <c r="F14" s="712"/>
      <c r="G14" s="712"/>
      <c r="H14" s="712"/>
      <c r="I14" s="712"/>
      <c r="J14" s="712"/>
      <c r="K14" s="180"/>
    </row>
    <row r="15" spans="1:13" ht="36" customHeight="1" thickBot="1">
      <c r="A15" s="709" t="s">
        <v>292</v>
      </c>
      <c r="B15" s="709" t="s">
        <v>293</v>
      </c>
      <c r="C15" s="709" t="s">
        <v>294</v>
      </c>
      <c r="D15" s="706" t="s">
        <v>295</v>
      </c>
      <c r="E15" s="707"/>
      <c r="F15" s="707"/>
      <c r="G15" s="708"/>
      <c r="H15" s="709" t="s">
        <v>296</v>
      </c>
      <c r="I15" s="709" t="s">
        <v>297</v>
      </c>
      <c r="J15" s="709" t="s">
        <v>298</v>
      </c>
      <c r="K15" s="177"/>
      <c r="M15" s="44"/>
    </row>
    <row r="16" spans="1:11" ht="19.5" thickBot="1">
      <c r="A16" s="710"/>
      <c r="B16" s="710"/>
      <c r="C16" s="710"/>
      <c r="D16" s="709" t="s">
        <v>299</v>
      </c>
      <c r="E16" s="706" t="s">
        <v>50</v>
      </c>
      <c r="F16" s="707"/>
      <c r="G16" s="708"/>
      <c r="H16" s="710"/>
      <c r="I16" s="710"/>
      <c r="J16" s="710"/>
      <c r="K16" s="177"/>
    </row>
    <row r="17" spans="1:11" ht="66.75" customHeight="1" thickBot="1">
      <c r="A17" s="711"/>
      <c r="B17" s="711"/>
      <c r="C17" s="711"/>
      <c r="D17" s="711"/>
      <c r="E17" s="179" t="s">
        <v>300</v>
      </c>
      <c r="F17" s="179" t="s">
        <v>301</v>
      </c>
      <c r="G17" s="179" t="s">
        <v>302</v>
      </c>
      <c r="H17" s="711"/>
      <c r="I17" s="711"/>
      <c r="J17" s="711"/>
      <c r="K17" s="177"/>
    </row>
    <row r="18" spans="1:14" ht="19.5" thickBot="1">
      <c r="A18" s="174">
        <v>1</v>
      </c>
      <c r="B18" s="179">
        <v>2</v>
      </c>
      <c r="C18" s="179">
        <v>3</v>
      </c>
      <c r="D18" s="179">
        <v>4</v>
      </c>
      <c r="E18" s="179">
        <v>5</v>
      </c>
      <c r="F18" s="179">
        <v>6</v>
      </c>
      <c r="G18" s="179">
        <v>7</v>
      </c>
      <c r="H18" s="179">
        <v>8</v>
      </c>
      <c r="I18" s="179">
        <v>9</v>
      </c>
      <c r="J18" s="179">
        <v>10</v>
      </c>
      <c r="K18" s="177"/>
      <c r="M18" s="44"/>
      <c r="N18" s="177">
        <v>4.3</v>
      </c>
    </row>
    <row r="19" spans="1:16" ht="30.75" customHeight="1" thickBot="1">
      <c r="A19" s="264"/>
      <c r="B19" s="264" t="s">
        <v>303</v>
      </c>
      <c r="C19" s="188">
        <v>5</v>
      </c>
      <c r="D19" s="46">
        <f>E19+F19+G19</f>
        <v>42967.68569230769</v>
      </c>
      <c r="E19" s="46">
        <f>134791/C19</f>
        <v>26958.2</v>
      </c>
      <c r="F19" s="46"/>
      <c r="G19" s="46">
        <f>E19*L19+6429.657051-1971.61602535896+384.46153846+2339.63441025794-26362.016+21819.216-6216.25641025641-7371.79487179488</f>
        <v>16009.48569230769</v>
      </c>
      <c r="H19" s="46"/>
      <c r="I19" s="46">
        <v>1.6</v>
      </c>
      <c r="J19" s="46">
        <f>((D19*I19)+(D19))*C19*12</f>
        <v>6702958.968</v>
      </c>
      <c r="K19" s="47"/>
      <c r="L19" s="48">
        <v>1</v>
      </c>
      <c r="M19" s="44"/>
      <c r="N19" s="169">
        <f>8852958.968-1000000-1150000</f>
        <v>6702958.968</v>
      </c>
      <c r="O19" s="189">
        <f>N19-J19</f>
        <v>0</v>
      </c>
      <c r="P19" s="190">
        <f>O19/2.6/12/C19</f>
        <v>0</v>
      </c>
    </row>
    <row r="20" spans="1:16" ht="30" customHeight="1" thickBot="1">
      <c r="A20" s="264"/>
      <c r="B20" s="264" t="s">
        <v>304</v>
      </c>
      <c r="C20" s="188">
        <v>75.32</v>
      </c>
      <c r="D20" s="46">
        <f>E20+F20+G20</f>
        <v>17127.74282107027</v>
      </c>
      <c r="E20" s="46">
        <f>884721.76/C20</f>
        <v>11746.173127987255</v>
      </c>
      <c r="F20" s="46"/>
      <c r="G20" s="46">
        <f>E20*L20+E20*0.2+1188.072118-972.040778558494+120.82355256-230.16187703+142.17623642-142.176236424555+572.238911145142-128.209079988097-441.599366923149-440.35954743813+457.023577832373+139.2003176325+337.342734688238+0.008862514045+198.151279569977-0.0000000002-337.351597202282+268.859429892195-173.333492858585+332.876027608505-159.542534749918+529.978340015669-33.4152229631267-30.1582490508231-4.50658839294755-1933.62700631218+852.541083954833-1.19002799744869-98.9863712782281+1412.13882096978-164.568502386494+851.069624303828-1702.13924860765+851.069624303825+425.534812151913+223.337946130701+425.534812151906</f>
        <v>5381.569693083015</v>
      </c>
      <c r="H20" s="170"/>
      <c r="I20" s="46">
        <v>1.6</v>
      </c>
      <c r="J20" s="46">
        <f>((D20*I20)+(D20))*C20*12</f>
        <v>40249921.58563</v>
      </c>
      <c r="K20" s="47"/>
      <c r="L20" s="48">
        <v>0.0594</v>
      </c>
      <c r="M20" s="44"/>
      <c r="N20" s="169">
        <f>29551046.40563+447167.2+606734-391161+751200-360039+1196000-75408-68058-10170+2000000-2791.72-232214.9+3312776+1000000-2000000+2000000+1000000+524840.6+1000000</f>
        <v>40249921.58563</v>
      </c>
      <c r="O20" s="189">
        <f>N20-J20</f>
        <v>0</v>
      </c>
      <c r="P20" s="191">
        <f>O20/2.6/12/C20</f>
        <v>0</v>
      </c>
    </row>
    <row r="21" spans="1:16" ht="31.5" customHeight="1" thickBot="1">
      <c r="A21" s="184"/>
      <c r="B21" s="264" t="s">
        <v>305</v>
      </c>
      <c r="C21" s="188">
        <v>6.5</v>
      </c>
      <c r="D21" s="46">
        <f>E21+F21+G21</f>
        <v>10253.795564497035</v>
      </c>
      <c r="E21" s="46">
        <f>41668/C21</f>
        <v>6410.461538461538</v>
      </c>
      <c r="F21" s="46"/>
      <c r="G21" s="46">
        <f>E21*L21+9149.184149-535.599999815849+991.1761655+737.117975350816-2909.65819846692-2465.48323471401-331.399999999997-305.699999999997+2565.24223821499-2509.20044378699-2465.48308678501</f>
        <v>3843.3340260354976</v>
      </c>
      <c r="H21" s="46"/>
      <c r="I21" s="46">
        <v>1.6</v>
      </c>
      <c r="J21" s="46">
        <f>((D21*I21)+(D21))*C21*12</f>
        <v>2079469.740479999</v>
      </c>
      <c r="K21" s="47"/>
      <c r="L21" s="192">
        <v>0.3</v>
      </c>
      <c r="M21" s="44"/>
      <c r="N21" s="169">
        <f>2568104.43457+520231.12591-508865.85-499999.97</f>
        <v>2079469.74048</v>
      </c>
      <c r="O21" s="189">
        <f>N21-J21</f>
        <v>0</v>
      </c>
      <c r="P21" s="191">
        <f>O21/2.6/12/C21</f>
        <v>0</v>
      </c>
    </row>
    <row r="22" spans="1:20" ht="26.25" customHeight="1" thickBot="1">
      <c r="A22" s="261"/>
      <c r="B22" s="4" t="s">
        <v>306</v>
      </c>
      <c r="C22" s="188">
        <v>31.5</v>
      </c>
      <c r="D22" s="193">
        <f>E22+F22+G22</f>
        <v>6182.092293335369</v>
      </c>
      <c r="E22" s="194">
        <f>122673/C22</f>
        <v>3894.3809523809523</v>
      </c>
      <c r="F22" s="195"/>
      <c r="G22" s="196">
        <f>E22*L22+2712.4505637-451.100000039523+295.546215616709-453.682736516355-457.810468092028+534.188034188033-551.444044866198-508.750508750508</f>
        <v>2287.7113409544163</v>
      </c>
      <c r="H22" s="262"/>
      <c r="I22" s="193">
        <v>1.6</v>
      </c>
      <c r="J22" s="193">
        <f>((D22*I22)+(D22))*C22*12</f>
        <v>6075760.30589</v>
      </c>
      <c r="K22" s="47" t="s">
        <v>426</v>
      </c>
      <c r="L22" s="192">
        <v>0.3</v>
      </c>
      <c r="M22" s="44"/>
      <c r="N22" s="169">
        <f>6075760.30589+500000-500000</f>
        <v>6075760.30589</v>
      </c>
      <c r="O22" s="189">
        <f>N22-J22</f>
        <v>0</v>
      </c>
      <c r="P22" s="190">
        <f>O22/2.6/12/C22</f>
        <v>0</v>
      </c>
      <c r="S22" s="44"/>
      <c r="T22" s="172"/>
    </row>
    <row r="23" spans="1:16" ht="26.25" customHeight="1" thickBot="1">
      <c r="A23" s="717" t="s">
        <v>307</v>
      </c>
      <c r="B23" s="718"/>
      <c r="C23" s="171">
        <f>SUM(C19:C22)</f>
        <v>118.32</v>
      </c>
      <c r="D23" s="171">
        <f aca="true" t="shared" si="0" ref="D23:I23">SUM(D19:D22)</f>
        <v>76531.31637121037</v>
      </c>
      <c r="E23" s="171">
        <f>SUM(E19:E22)</f>
        <v>49009.21561882975</v>
      </c>
      <c r="F23" s="171">
        <f t="shared" si="0"/>
        <v>0</v>
      </c>
      <c r="G23" s="171">
        <f t="shared" si="0"/>
        <v>27522.10075238062</v>
      </c>
      <c r="H23" s="171">
        <f t="shared" si="0"/>
        <v>0</v>
      </c>
      <c r="I23" s="171">
        <f t="shared" si="0"/>
        <v>6.4</v>
      </c>
      <c r="J23" s="197">
        <f>SUM(J19:J22)</f>
        <v>55108110.6</v>
      </c>
      <c r="K23" s="198">
        <v>749770</v>
      </c>
      <c r="M23" s="44"/>
      <c r="N23" s="199">
        <f>N19+N20+N21+N22</f>
        <v>55108110.6</v>
      </c>
      <c r="O23" s="189"/>
      <c r="P23" s="190"/>
    </row>
    <row r="24" spans="1:19" s="94" customFormat="1" ht="24" customHeight="1" thickBot="1">
      <c r="A24" s="758" t="s">
        <v>441</v>
      </c>
      <c r="B24" s="759"/>
      <c r="C24" s="759"/>
      <c r="D24" s="759"/>
      <c r="E24" s="759"/>
      <c r="F24" s="759"/>
      <c r="G24" s="759"/>
      <c r="H24" s="759"/>
      <c r="I24" s="759"/>
      <c r="J24" s="760"/>
      <c r="K24" s="237"/>
      <c r="L24" s="238"/>
      <c r="M24" s="239"/>
      <c r="N24" s="240"/>
      <c r="O24" s="238"/>
      <c r="P24" s="238"/>
      <c r="Q24" s="238"/>
      <c r="R24" s="238"/>
      <c r="S24" s="238"/>
    </row>
    <row r="25" spans="1:19" s="94" customFormat="1" ht="30" customHeight="1" thickBot="1">
      <c r="A25" s="258"/>
      <c r="B25" s="258" t="s">
        <v>618</v>
      </c>
      <c r="C25" s="231"/>
      <c r="D25" s="229"/>
      <c r="E25" s="229"/>
      <c r="F25" s="229"/>
      <c r="G25" s="229"/>
      <c r="H25" s="232"/>
      <c r="I25" s="229"/>
      <c r="J25" s="241">
        <v>749770</v>
      </c>
      <c r="K25" s="242"/>
      <c r="L25" s="240"/>
      <c r="M25" s="243"/>
      <c r="N25" s="244"/>
      <c r="O25" s="243"/>
      <c r="P25" s="244"/>
      <c r="Q25" s="238"/>
      <c r="R25" s="238"/>
      <c r="S25" s="238"/>
    </row>
    <row r="26" spans="1:19" s="94" customFormat="1" ht="30" customHeight="1" hidden="1" thickBot="1">
      <c r="A26" s="258"/>
      <c r="B26" s="258" t="s">
        <v>619</v>
      </c>
      <c r="C26" s="231"/>
      <c r="D26" s="229"/>
      <c r="E26" s="229"/>
      <c r="F26" s="229"/>
      <c r="G26" s="229"/>
      <c r="H26" s="232"/>
      <c r="I26" s="229"/>
      <c r="J26" s="241"/>
      <c r="K26" s="242"/>
      <c r="L26" s="240"/>
      <c r="M26" s="243"/>
      <c r="N26" s="244"/>
      <c r="O26" s="243"/>
      <c r="P26" s="244"/>
      <c r="Q26" s="238"/>
      <c r="R26" s="238"/>
      <c r="S26" s="238"/>
    </row>
    <row r="27" spans="1:19" s="94" customFormat="1" ht="26.25" customHeight="1" thickBot="1">
      <c r="A27" s="761" t="s">
        <v>307</v>
      </c>
      <c r="B27" s="762"/>
      <c r="C27" s="234"/>
      <c r="D27" s="234"/>
      <c r="E27" s="234"/>
      <c r="F27" s="234"/>
      <c r="G27" s="234"/>
      <c r="H27" s="234"/>
      <c r="I27" s="234"/>
      <c r="J27" s="266">
        <f>SUM(J25:J26)</f>
        <v>749770</v>
      </c>
      <c r="K27" s="245"/>
      <c r="L27" s="238"/>
      <c r="M27" s="239"/>
      <c r="N27" s="240"/>
      <c r="O27" s="243"/>
      <c r="P27" s="244"/>
      <c r="Q27" s="238"/>
      <c r="R27" s="238"/>
      <c r="S27" s="238"/>
    </row>
    <row r="28" spans="11:14" s="94" customFormat="1" ht="18.75">
      <c r="K28" s="246"/>
      <c r="M28" s="247"/>
      <c r="N28" s="235"/>
    </row>
    <row r="29" spans="13:14" ht="15">
      <c r="M29" s="44"/>
      <c r="N29" s="200"/>
    </row>
    <row r="30" spans="1:14" ht="21.75" customHeight="1" hidden="1" thickBot="1">
      <c r="A30" s="719" t="s">
        <v>395</v>
      </c>
      <c r="B30" s="719"/>
      <c r="C30" s="719"/>
      <c r="D30" s="719"/>
      <c r="E30" s="719"/>
      <c r="F30" s="719"/>
      <c r="G30" s="201"/>
      <c r="K30" s="1" t="s">
        <v>427</v>
      </c>
      <c r="L30" s="202">
        <f>47076356+723922+3588000</f>
        <v>51388278</v>
      </c>
      <c r="M30" s="49"/>
      <c r="N30" s="200"/>
    </row>
    <row r="31" spans="12:15" ht="15" hidden="1">
      <c r="L31" s="12">
        <f>L30-J23</f>
        <v>-3719832.6000000015</v>
      </c>
      <c r="M31" s="44"/>
      <c r="N31" s="200"/>
      <c r="O31" s="44"/>
    </row>
    <row r="32" spans="1:15" ht="123" customHeight="1" hidden="1" thickBot="1">
      <c r="A32" s="4" t="s">
        <v>292</v>
      </c>
      <c r="B32" s="262" t="s">
        <v>308</v>
      </c>
      <c r="C32" s="262" t="s">
        <v>309</v>
      </c>
      <c r="D32" s="262" t="s">
        <v>310</v>
      </c>
      <c r="E32" s="262" t="s">
        <v>311</v>
      </c>
      <c r="F32" s="262" t="s">
        <v>312</v>
      </c>
      <c r="L32" s="12"/>
      <c r="M32" s="44"/>
      <c r="N32" s="200"/>
      <c r="O32" s="203"/>
    </row>
    <row r="33" spans="1:15" ht="19.5" hidden="1" thickBot="1">
      <c r="A33" s="264">
        <v>1</v>
      </c>
      <c r="B33" s="263">
        <v>2</v>
      </c>
      <c r="C33" s="263">
        <v>3</v>
      </c>
      <c r="D33" s="263">
        <v>4</v>
      </c>
      <c r="E33" s="263">
        <v>5</v>
      </c>
      <c r="F33" s="263">
        <v>6</v>
      </c>
      <c r="J33" s="44"/>
      <c r="K33" s="44"/>
      <c r="N33" s="200"/>
      <c r="O33" s="44"/>
    </row>
    <row r="34" spans="1:14" ht="19.5" hidden="1" thickBot="1">
      <c r="A34" s="264">
        <v>1</v>
      </c>
      <c r="B34" s="263"/>
      <c r="C34" s="50">
        <v>0</v>
      </c>
      <c r="D34" s="50">
        <v>0</v>
      </c>
      <c r="E34" s="50">
        <v>0</v>
      </c>
      <c r="F34" s="50">
        <f>C34*D34*E34</f>
        <v>0</v>
      </c>
      <c r="N34" s="200"/>
    </row>
    <row r="35" spans="1:14" ht="19.5" hidden="1" thickBot="1">
      <c r="A35" s="264"/>
      <c r="B35" s="265" t="s">
        <v>307</v>
      </c>
      <c r="C35" s="5" t="s">
        <v>313</v>
      </c>
      <c r="D35" s="5" t="s">
        <v>313</v>
      </c>
      <c r="E35" s="5" t="s">
        <v>313</v>
      </c>
      <c r="F35" s="204">
        <f>F34</f>
        <v>0</v>
      </c>
      <c r="M35" s="205"/>
      <c r="N35" s="200"/>
    </row>
    <row r="36" spans="11:14" ht="18.75">
      <c r="K36" s="206">
        <v>55108110.6</v>
      </c>
      <c r="L36" s="1" t="s">
        <v>545</v>
      </c>
      <c r="M36" s="30"/>
      <c r="N36" s="200"/>
    </row>
    <row r="37" spans="1:11" ht="19.5" thickBot="1">
      <c r="A37" s="719" t="s">
        <v>396</v>
      </c>
      <c r="B37" s="719"/>
      <c r="C37" s="719"/>
      <c r="D37" s="719"/>
      <c r="E37" s="719"/>
      <c r="F37" s="719"/>
      <c r="K37" s="12">
        <f>J23-K36</f>
        <v>0</v>
      </c>
    </row>
    <row r="38" spans="1:15" ht="88.5" customHeight="1" thickBot="1">
      <c r="A38" s="4" t="s">
        <v>292</v>
      </c>
      <c r="B38" s="176" t="s">
        <v>308</v>
      </c>
      <c r="C38" s="176" t="s">
        <v>314</v>
      </c>
      <c r="D38" s="176" t="s">
        <v>315</v>
      </c>
      <c r="E38" s="176" t="s">
        <v>316</v>
      </c>
      <c r="F38" s="176" t="s">
        <v>312</v>
      </c>
      <c r="M38" s="51"/>
      <c r="N38" s="44"/>
      <c r="O38" s="52"/>
    </row>
    <row r="39" spans="1:6" ht="19.5" thickBot="1">
      <c r="A39" s="174">
        <v>1</v>
      </c>
      <c r="B39" s="179">
        <v>2</v>
      </c>
      <c r="C39" s="179">
        <v>3</v>
      </c>
      <c r="D39" s="179">
        <v>4</v>
      </c>
      <c r="E39" s="179">
        <v>5</v>
      </c>
      <c r="F39" s="179">
        <v>6</v>
      </c>
    </row>
    <row r="40" spans="1:17" ht="30.75" customHeight="1" hidden="1" thickBot="1">
      <c r="A40" s="174">
        <v>1</v>
      </c>
      <c r="B40" s="179" t="s">
        <v>317</v>
      </c>
      <c r="C40" s="84">
        <v>6</v>
      </c>
      <c r="D40" s="179">
        <v>12</v>
      </c>
      <c r="E40" s="50">
        <v>90</v>
      </c>
      <c r="F40" s="6">
        <v>0</v>
      </c>
      <c r="M40" s="12"/>
      <c r="O40" s="44"/>
      <c r="Q40" s="53"/>
    </row>
    <row r="41" spans="1:6" ht="38.25" customHeight="1" hidden="1" thickBot="1">
      <c r="A41" s="174">
        <v>2</v>
      </c>
      <c r="B41" s="179" t="s">
        <v>318</v>
      </c>
      <c r="C41" s="179">
        <v>0</v>
      </c>
      <c r="D41" s="179">
        <v>1</v>
      </c>
      <c r="E41" s="50">
        <v>0</v>
      </c>
      <c r="F41" s="6"/>
    </row>
    <row r="42" spans="1:6" ht="38.25" customHeight="1" thickBot="1">
      <c r="A42" s="174">
        <v>1</v>
      </c>
      <c r="B42" s="179" t="s">
        <v>429</v>
      </c>
      <c r="C42" s="179"/>
      <c r="D42" s="179"/>
      <c r="E42" s="50"/>
      <c r="F42" s="6">
        <v>1325000</v>
      </c>
    </row>
    <row r="43" spans="1:6" ht="19.5" thickBot="1">
      <c r="A43" s="174"/>
      <c r="B43" s="173" t="s">
        <v>307</v>
      </c>
      <c r="C43" s="5" t="s">
        <v>313</v>
      </c>
      <c r="D43" s="5" t="s">
        <v>313</v>
      </c>
      <c r="E43" s="5" t="s">
        <v>313</v>
      </c>
      <c r="F43" s="7">
        <f>F42+F41+F40</f>
        <v>1325000</v>
      </c>
    </row>
    <row r="44" spans="1:12" ht="18.75" hidden="1">
      <c r="A44" s="719" t="s">
        <v>528</v>
      </c>
      <c r="B44" s="719"/>
      <c r="C44" s="719"/>
      <c r="D44" s="719"/>
      <c r="E44" s="719"/>
      <c r="F44" s="719"/>
      <c r="L44" s="80"/>
    </row>
    <row r="45" spans="1:18" ht="66.75" customHeight="1" hidden="1" thickBot="1">
      <c r="A45" s="4" t="s">
        <v>292</v>
      </c>
      <c r="B45" s="176" t="s">
        <v>308</v>
      </c>
      <c r="C45" s="176" t="s">
        <v>314</v>
      </c>
      <c r="D45" s="176" t="s">
        <v>315</v>
      </c>
      <c r="E45" s="176" t="s">
        <v>316</v>
      </c>
      <c r="F45" s="176" t="s">
        <v>312</v>
      </c>
      <c r="L45" s="80"/>
      <c r="P45" s="51"/>
      <c r="Q45" s="44"/>
      <c r="R45" s="52"/>
    </row>
    <row r="46" spans="1:12" ht="19.5" hidden="1" thickBot="1">
      <c r="A46" s="174">
        <v>1</v>
      </c>
      <c r="B46" s="179">
        <v>2</v>
      </c>
      <c r="C46" s="179">
        <v>3</v>
      </c>
      <c r="D46" s="179">
        <v>4</v>
      </c>
      <c r="E46" s="179">
        <v>5</v>
      </c>
      <c r="F46" s="179">
        <v>6</v>
      </c>
      <c r="L46" s="80"/>
    </row>
    <row r="47" spans="1:19" ht="67.5" customHeight="1" hidden="1" thickBot="1">
      <c r="A47" s="174">
        <v>1</v>
      </c>
      <c r="B47" s="10" t="s">
        <v>529</v>
      </c>
      <c r="C47" s="179"/>
      <c r="D47" s="179"/>
      <c r="E47" s="50"/>
      <c r="F47" s="6"/>
      <c r="K47" s="182">
        <f>2160</f>
        <v>2160</v>
      </c>
      <c r="L47" s="81">
        <f>K47-F47</f>
        <v>2160</v>
      </c>
      <c r="O47" s="12" t="e">
        <f>#REF!-#REF!</f>
        <v>#REF!</v>
      </c>
      <c r="Q47" s="44"/>
      <c r="S47" s="53"/>
    </row>
    <row r="48" spans="1:12" ht="19.5" hidden="1" thickBot="1">
      <c r="A48" s="174"/>
      <c r="B48" s="173" t="s">
        <v>307</v>
      </c>
      <c r="C48" s="5" t="s">
        <v>313</v>
      </c>
      <c r="D48" s="5" t="s">
        <v>313</v>
      </c>
      <c r="E48" s="5" t="s">
        <v>313</v>
      </c>
      <c r="F48" s="7">
        <f>F47</f>
        <v>0</v>
      </c>
      <c r="K48" s="12" t="e">
        <f>4320-#REF!-F47</f>
        <v>#REF!</v>
      </c>
      <c r="L48" s="80"/>
    </row>
    <row r="49" spans="1:7" ht="48" customHeight="1" thickBot="1">
      <c r="A49" s="726" t="s">
        <v>542</v>
      </c>
      <c r="B49" s="726"/>
      <c r="C49" s="726"/>
      <c r="D49" s="726"/>
      <c r="E49" s="726"/>
      <c r="F49" s="726"/>
      <c r="G49" s="54"/>
    </row>
    <row r="50" spans="1:4" ht="78" customHeight="1" thickBot="1">
      <c r="A50" s="4" t="s">
        <v>292</v>
      </c>
      <c r="B50" s="176" t="s">
        <v>319</v>
      </c>
      <c r="C50" s="176" t="s">
        <v>320</v>
      </c>
      <c r="D50" s="176" t="s">
        <v>321</v>
      </c>
    </row>
    <row r="51" spans="1:4" ht="19.5" thickBot="1">
      <c r="A51" s="174">
        <v>1</v>
      </c>
      <c r="B51" s="179">
        <v>2</v>
      </c>
      <c r="C51" s="179">
        <v>3</v>
      </c>
      <c r="D51" s="179">
        <v>4</v>
      </c>
    </row>
    <row r="52" spans="1:12" ht="45" customHeight="1" thickBot="1">
      <c r="A52" s="174">
        <v>1</v>
      </c>
      <c r="B52" s="55" t="s">
        <v>322</v>
      </c>
      <c r="C52" s="179" t="s">
        <v>313</v>
      </c>
      <c r="D52" s="46">
        <f>D53+D55</f>
        <v>9921035.0108</v>
      </c>
      <c r="K52" s="56"/>
      <c r="L52" s="44"/>
    </row>
    <row r="53" spans="1:11" ht="18.75">
      <c r="A53" s="709" t="s">
        <v>323</v>
      </c>
      <c r="B53" s="57" t="s">
        <v>50</v>
      </c>
      <c r="C53" s="709"/>
      <c r="D53" s="721">
        <f>14439900.08-D56-D57</f>
        <v>9921035.0108</v>
      </c>
      <c r="K53" s="56"/>
    </row>
    <row r="54" spans="1:11" ht="24" thickBot="1">
      <c r="A54" s="711"/>
      <c r="B54" s="58" t="s">
        <v>324</v>
      </c>
      <c r="C54" s="711"/>
      <c r="D54" s="722"/>
      <c r="K54" s="87"/>
    </row>
    <row r="55" spans="1:11" ht="19.5" thickBot="1">
      <c r="A55" s="174" t="s">
        <v>325</v>
      </c>
      <c r="B55" s="60" t="s">
        <v>326</v>
      </c>
      <c r="C55" s="179"/>
      <c r="D55" s="46"/>
      <c r="K55" s="59"/>
    </row>
    <row r="56" spans="1:11" ht="38.25" customHeight="1" thickBot="1">
      <c r="A56" s="174">
        <v>2</v>
      </c>
      <c r="B56" s="55" t="s">
        <v>327</v>
      </c>
      <c r="C56" s="179" t="s">
        <v>313</v>
      </c>
      <c r="D56" s="46">
        <f>C57*3.1%</f>
        <v>1708351.4286</v>
      </c>
      <c r="K56" s="61"/>
    </row>
    <row r="57" spans="1:12" ht="42.75" customHeight="1" thickBot="1">
      <c r="A57" s="174">
        <v>3</v>
      </c>
      <c r="B57" s="55" t="s">
        <v>328</v>
      </c>
      <c r="C57" s="46">
        <f>J23</f>
        <v>55108110.6</v>
      </c>
      <c r="D57" s="46">
        <f>C57*5.1%</f>
        <v>2810513.6406</v>
      </c>
      <c r="K57" s="268">
        <v>14439900.08</v>
      </c>
      <c r="L57" s="44">
        <f>K57-D58</f>
        <v>0</v>
      </c>
    </row>
    <row r="58" spans="1:13" ht="20.25" customHeight="1" thickBot="1">
      <c r="A58" s="174"/>
      <c r="B58" s="173" t="s">
        <v>307</v>
      </c>
      <c r="C58" s="5" t="s">
        <v>313</v>
      </c>
      <c r="D58" s="85">
        <f>D53+D56+D57</f>
        <v>14439900.08</v>
      </c>
      <c r="K58" s="62"/>
      <c r="M58" s="44"/>
    </row>
    <row r="59" spans="1:6" ht="15.75" customHeight="1" hidden="1" thickBot="1">
      <c r="A59" s="719" t="s">
        <v>397</v>
      </c>
      <c r="B59" s="719"/>
      <c r="C59" s="719"/>
      <c r="D59" s="719"/>
      <c r="E59" s="719"/>
      <c r="F59" s="719"/>
    </row>
    <row r="60" spans="1:12" ht="18.75" hidden="1">
      <c r="A60" s="720" t="s">
        <v>329</v>
      </c>
      <c r="B60" s="720"/>
      <c r="C60" s="720"/>
      <c r="D60" s="720"/>
      <c r="E60" s="720"/>
      <c r="F60" s="720"/>
      <c r="L60" s="44"/>
    </row>
    <row r="61" spans="1:6" ht="18.75" hidden="1">
      <c r="A61" s="720" t="s">
        <v>330</v>
      </c>
      <c r="B61" s="720"/>
      <c r="C61" s="720"/>
      <c r="D61" s="720"/>
      <c r="E61" s="720"/>
      <c r="F61" s="720"/>
    </row>
    <row r="62" spans="1:5" ht="54.75" customHeight="1" hidden="1">
      <c r="A62" s="4" t="s">
        <v>292</v>
      </c>
      <c r="B62" s="176" t="s">
        <v>0</v>
      </c>
      <c r="C62" s="176" t="s">
        <v>331</v>
      </c>
      <c r="D62" s="176" t="s">
        <v>332</v>
      </c>
      <c r="E62" s="176" t="s">
        <v>333</v>
      </c>
    </row>
    <row r="63" spans="1:5" ht="19.5" hidden="1" thickBot="1">
      <c r="A63" s="174">
        <v>1</v>
      </c>
      <c r="B63" s="179">
        <v>2</v>
      </c>
      <c r="C63" s="179">
        <v>3</v>
      </c>
      <c r="D63" s="179">
        <v>4</v>
      </c>
      <c r="E63" s="179">
        <v>5</v>
      </c>
    </row>
    <row r="64" spans="1:5" ht="38.25" hidden="1" thickBot="1">
      <c r="A64" s="174"/>
      <c r="B64" s="179" t="s">
        <v>334</v>
      </c>
      <c r="C64" s="6">
        <v>0</v>
      </c>
      <c r="D64" s="6">
        <v>0</v>
      </c>
      <c r="E64" s="6">
        <v>0</v>
      </c>
    </row>
    <row r="65" spans="1:5" ht="19.5" hidden="1" thickBot="1">
      <c r="A65" s="174"/>
      <c r="B65" s="173" t="s">
        <v>307</v>
      </c>
      <c r="C65" s="7" t="s">
        <v>313</v>
      </c>
      <c r="D65" s="7" t="s">
        <v>313</v>
      </c>
      <c r="E65" s="7">
        <f>E64</f>
        <v>0</v>
      </c>
    </row>
    <row r="66" spans="1:11" s="94" customFormat="1" ht="24.75" customHeight="1" thickBot="1">
      <c r="A66" s="763" t="s">
        <v>441</v>
      </c>
      <c r="B66" s="763"/>
      <c r="C66" s="763"/>
      <c r="D66" s="763"/>
      <c r="E66" s="256"/>
      <c r="F66" s="256"/>
      <c r="G66" s="248"/>
      <c r="K66" s="227">
        <f>14439900.08-D58</f>
        <v>0</v>
      </c>
    </row>
    <row r="67" spans="1:4" s="94" customFormat="1" ht="80.25" customHeight="1" thickBot="1">
      <c r="A67" s="97" t="s">
        <v>292</v>
      </c>
      <c r="B67" s="259" t="s">
        <v>319</v>
      </c>
      <c r="C67" s="259" t="s">
        <v>320</v>
      </c>
      <c r="D67" s="259" t="s">
        <v>321</v>
      </c>
    </row>
    <row r="68" spans="1:4" s="94" customFormat="1" ht="19.5" thickBot="1">
      <c r="A68" s="258">
        <v>1</v>
      </c>
      <c r="B68" s="228">
        <v>2</v>
      </c>
      <c r="C68" s="228">
        <v>3</v>
      </c>
      <c r="D68" s="228">
        <v>4</v>
      </c>
    </row>
    <row r="69" spans="1:4" s="94" customFormat="1" ht="45" customHeight="1" thickBot="1">
      <c r="A69" s="258">
        <v>1</v>
      </c>
      <c r="B69" s="249" t="s">
        <v>322</v>
      </c>
      <c r="C69" s="228" t="s">
        <v>313</v>
      </c>
      <c r="D69" s="229">
        <f>D70+D72</f>
        <v>164956.86000000002</v>
      </c>
    </row>
    <row r="70" spans="1:4" s="94" customFormat="1" ht="18.75">
      <c r="A70" s="764" t="s">
        <v>323</v>
      </c>
      <c r="B70" s="250" t="s">
        <v>50</v>
      </c>
      <c r="C70" s="764"/>
      <c r="D70" s="766">
        <f>(226438)-D73-D74</f>
        <v>164956.86000000002</v>
      </c>
    </row>
    <row r="71" spans="1:11" s="94" customFormat="1" ht="19.5" thickBot="1">
      <c r="A71" s="765"/>
      <c r="B71" s="251" t="s">
        <v>324</v>
      </c>
      <c r="C71" s="765"/>
      <c r="D71" s="767"/>
      <c r="K71" s="253" t="s">
        <v>428</v>
      </c>
    </row>
    <row r="72" spans="1:11" s="94" customFormat="1" ht="19.5" thickBot="1">
      <c r="A72" s="258" t="s">
        <v>325</v>
      </c>
      <c r="B72" s="252" t="s">
        <v>326</v>
      </c>
      <c r="C72" s="228"/>
      <c r="D72" s="229"/>
      <c r="K72" s="253"/>
    </row>
    <row r="73" spans="1:11" s="94" customFormat="1" ht="38.25" customHeight="1" thickBot="1">
      <c r="A73" s="258">
        <v>2</v>
      </c>
      <c r="B73" s="249" t="s">
        <v>327</v>
      </c>
      <c r="C73" s="228" t="s">
        <v>313</v>
      </c>
      <c r="D73" s="229">
        <f>C74*3.1%</f>
        <v>23242.87</v>
      </c>
      <c r="K73" s="257"/>
    </row>
    <row r="74" spans="1:12" s="94" customFormat="1" ht="42.75" customHeight="1" thickBot="1">
      <c r="A74" s="258">
        <v>3</v>
      </c>
      <c r="B74" s="249" t="s">
        <v>328</v>
      </c>
      <c r="C74" s="229">
        <f>J27</f>
        <v>749770</v>
      </c>
      <c r="D74" s="229">
        <f>C74*5.1%</f>
        <v>38238.27</v>
      </c>
      <c r="K74" s="230" t="s">
        <v>426</v>
      </c>
      <c r="L74" s="94" t="s">
        <v>620</v>
      </c>
    </row>
    <row r="75" spans="1:13" s="94" customFormat="1" ht="30.75" customHeight="1" thickBot="1">
      <c r="A75" s="258"/>
      <c r="B75" s="260" t="s">
        <v>307</v>
      </c>
      <c r="C75" s="236" t="s">
        <v>313</v>
      </c>
      <c r="D75" s="254">
        <f>D70+D73+D74</f>
        <v>226438</v>
      </c>
      <c r="K75" s="255">
        <v>226438</v>
      </c>
      <c r="L75" s="233">
        <v>0</v>
      </c>
      <c r="M75" s="227"/>
    </row>
    <row r="76" spans="1:5" ht="18.75">
      <c r="A76" s="177"/>
      <c r="B76" s="82"/>
      <c r="C76" s="83"/>
      <c r="D76" s="83"/>
      <c r="E76" s="83"/>
    </row>
    <row r="77" spans="1:7" ht="18.75">
      <c r="A77" s="712" t="s">
        <v>398</v>
      </c>
      <c r="B77" s="712"/>
      <c r="C77" s="712"/>
      <c r="D77" s="712"/>
      <c r="E77" s="712"/>
      <c r="F77" s="712"/>
      <c r="G77" s="712"/>
    </row>
    <row r="78" spans="1:7" ht="18.75">
      <c r="A78" s="720" t="s">
        <v>399</v>
      </c>
      <c r="B78" s="720"/>
      <c r="C78" s="720"/>
      <c r="D78" s="720"/>
      <c r="E78" s="720"/>
      <c r="F78" s="720"/>
      <c r="G78" s="720"/>
    </row>
    <row r="79" spans="1:7" ht="19.5" thickBot="1">
      <c r="A79" s="720" t="s">
        <v>335</v>
      </c>
      <c r="B79" s="720"/>
      <c r="C79" s="720"/>
      <c r="D79" s="720"/>
      <c r="E79" s="720"/>
      <c r="F79" s="720"/>
      <c r="G79" s="720"/>
    </row>
    <row r="80" spans="1:5" ht="76.5" customHeight="1" thickBot="1">
      <c r="A80" s="4" t="s">
        <v>292</v>
      </c>
      <c r="B80" s="176" t="s">
        <v>308</v>
      </c>
      <c r="C80" s="176" t="s">
        <v>336</v>
      </c>
      <c r="D80" s="176" t="s">
        <v>337</v>
      </c>
      <c r="E80" s="176" t="s">
        <v>338</v>
      </c>
    </row>
    <row r="81" spans="1:6" ht="19.5" thickBot="1">
      <c r="A81" s="174">
        <v>1</v>
      </c>
      <c r="B81" s="179">
        <v>2</v>
      </c>
      <c r="C81" s="179">
        <v>3</v>
      </c>
      <c r="D81" s="179">
        <v>4</v>
      </c>
      <c r="E81" s="179">
        <v>5</v>
      </c>
      <c r="F81" s="63"/>
    </row>
    <row r="82" spans="1:13" ht="27.75" customHeight="1" thickBot="1">
      <c r="A82" s="174">
        <v>1</v>
      </c>
      <c r="B82" s="179" t="s">
        <v>339</v>
      </c>
      <c r="C82" s="208">
        <v>36468145</v>
      </c>
      <c r="D82" s="6">
        <v>2.2</v>
      </c>
      <c r="E82" s="6">
        <f>(C82*D82)/100</f>
        <v>802299.19</v>
      </c>
      <c r="F82" s="63">
        <f>920141/0.022</f>
        <v>41824590.909090914</v>
      </c>
      <c r="H82" s="201"/>
      <c r="K82" s="1">
        <f>886681.49-84382.3</f>
        <v>802299.19</v>
      </c>
      <c r="L82" s="12">
        <f>K82*100/2.2</f>
        <v>36468145</v>
      </c>
      <c r="M82" s="12">
        <f>E82-K82</f>
        <v>0</v>
      </c>
    </row>
    <row r="83" spans="1:13" ht="27" customHeight="1" thickBot="1">
      <c r="A83" s="174">
        <v>2</v>
      </c>
      <c r="B83" s="179" t="s">
        <v>340</v>
      </c>
      <c r="C83" s="208">
        <v>18585187.33</v>
      </c>
      <c r="D83" s="6">
        <v>1.5</v>
      </c>
      <c r="E83" s="6">
        <f>(C83*D83)/100</f>
        <v>278777.80994999997</v>
      </c>
      <c r="F83" s="63">
        <f>676857/0.015</f>
        <v>45123800</v>
      </c>
      <c r="K83" s="1">
        <v>278777.81</v>
      </c>
      <c r="L83" s="12">
        <f>K83*100/1.5</f>
        <v>18585187.333333332</v>
      </c>
      <c r="M83" s="12">
        <f>E83-K83</f>
        <v>-5.000003147870302E-05</v>
      </c>
    </row>
    <row r="84" spans="1:12" ht="27" customHeight="1" hidden="1" thickBot="1">
      <c r="A84" s="174">
        <v>3</v>
      </c>
      <c r="B84" s="179" t="s">
        <v>521</v>
      </c>
      <c r="C84" s="6"/>
      <c r="D84" s="6"/>
      <c r="E84" s="6">
        <v>0</v>
      </c>
      <c r="F84" s="63"/>
      <c r="L84" s="12">
        <f>K84*100/2.2</f>
        <v>0</v>
      </c>
    </row>
    <row r="85" spans="1:12" ht="27" customHeight="1" hidden="1" thickBot="1">
      <c r="A85" s="174">
        <v>4</v>
      </c>
      <c r="B85" s="179" t="s">
        <v>557</v>
      </c>
      <c r="C85" s="6"/>
      <c r="D85" s="6"/>
      <c r="E85" s="6">
        <v>0</v>
      </c>
      <c r="F85" s="63"/>
      <c r="L85" s="12">
        <f>K85*100/2.2</f>
        <v>0</v>
      </c>
    </row>
    <row r="86" spans="1:5" ht="19.5" thickBot="1">
      <c r="A86" s="174"/>
      <c r="B86" s="173" t="s">
        <v>307</v>
      </c>
      <c r="C86" s="7"/>
      <c r="D86" s="7" t="s">
        <v>313</v>
      </c>
      <c r="E86" s="7">
        <f>E83+E82+E84+E85</f>
        <v>1081076.9999499999</v>
      </c>
    </row>
    <row r="87" ht="18.75">
      <c r="A87" s="8" t="s">
        <v>541</v>
      </c>
    </row>
    <row r="88" spans="1:7" ht="18.75">
      <c r="A88" s="178" t="s">
        <v>335</v>
      </c>
      <c r="B88" s="178"/>
      <c r="C88" s="178"/>
      <c r="D88" s="178"/>
      <c r="E88" s="178"/>
      <c r="F88" s="178"/>
      <c r="G88" s="178"/>
    </row>
    <row r="89" spans="1:6" ht="19.5" thickBot="1">
      <c r="A89" s="712" t="s">
        <v>401</v>
      </c>
      <c r="B89" s="712"/>
      <c r="C89" s="712"/>
      <c r="D89" s="712"/>
      <c r="E89" s="712"/>
      <c r="F89" s="712"/>
    </row>
    <row r="90" spans="1:6" ht="38.25" thickBot="1">
      <c r="A90" s="4" t="s">
        <v>292</v>
      </c>
      <c r="B90" s="176" t="s">
        <v>308</v>
      </c>
      <c r="C90" s="176" t="s">
        <v>341</v>
      </c>
      <c r="D90" s="176" t="s">
        <v>342</v>
      </c>
      <c r="E90" s="176" t="s">
        <v>343</v>
      </c>
      <c r="F90" s="176" t="s">
        <v>312</v>
      </c>
    </row>
    <row r="91" spans="1:6" ht="19.5" thickBot="1">
      <c r="A91" s="174">
        <v>1</v>
      </c>
      <c r="B91" s="179">
        <v>2</v>
      </c>
      <c r="C91" s="179">
        <v>3</v>
      </c>
      <c r="D91" s="179">
        <v>4</v>
      </c>
      <c r="E91" s="179">
        <v>5</v>
      </c>
      <c r="F91" s="179">
        <v>6</v>
      </c>
    </row>
    <row r="92" spans="1:6" ht="28.5" customHeight="1" thickBot="1">
      <c r="A92" s="174">
        <v>1</v>
      </c>
      <c r="B92" s="179" t="s">
        <v>344</v>
      </c>
      <c r="C92" s="179">
        <v>3</v>
      </c>
      <c r="D92" s="179">
        <v>12</v>
      </c>
      <c r="E92" s="6">
        <v>1000</v>
      </c>
      <c r="F92" s="6">
        <f>C92*D92*E92</f>
        <v>36000</v>
      </c>
    </row>
    <row r="93" spans="1:6" ht="19.5" hidden="1" thickBot="1">
      <c r="A93" s="174">
        <v>2</v>
      </c>
      <c r="B93" s="179" t="s">
        <v>345</v>
      </c>
      <c r="C93" s="179"/>
      <c r="D93" s="179">
        <v>1</v>
      </c>
      <c r="E93" s="6">
        <v>0</v>
      </c>
      <c r="F93" s="6">
        <f>E93</f>
        <v>0</v>
      </c>
    </row>
    <row r="94" spans="1:6" ht="27.75" customHeight="1" thickBot="1">
      <c r="A94" s="174"/>
      <c r="B94" s="173" t="s">
        <v>307</v>
      </c>
      <c r="C94" s="5" t="s">
        <v>313</v>
      </c>
      <c r="D94" s="5" t="s">
        <v>313</v>
      </c>
      <c r="E94" s="5" t="s">
        <v>313</v>
      </c>
      <c r="F94" s="7">
        <f>F92+F93</f>
        <v>36000</v>
      </c>
    </row>
    <row r="95" spans="1:6" ht="30" customHeight="1" hidden="1" thickBot="1">
      <c r="A95" s="712" t="s">
        <v>402</v>
      </c>
      <c r="B95" s="712"/>
      <c r="C95" s="712"/>
      <c r="D95" s="712"/>
      <c r="E95" s="712"/>
      <c r="F95" s="712"/>
    </row>
    <row r="96" ht="15" hidden="1"/>
    <row r="97" spans="1:5" ht="38.25" hidden="1" thickBot="1">
      <c r="A97" s="4" t="s">
        <v>292</v>
      </c>
      <c r="B97" s="176" t="s">
        <v>308</v>
      </c>
      <c r="C97" s="176" t="s">
        <v>346</v>
      </c>
      <c r="D97" s="176" t="s">
        <v>347</v>
      </c>
      <c r="E97" s="176" t="s">
        <v>348</v>
      </c>
    </row>
    <row r="98" spans="1:5" ht="19.5" hidden="1" thickBot="1">
      <c r="A98" s="174">
        <v>1</v>
      </c>
      <c r="B98" s="179">
        <v>2</v>
      </c>
      <c r="C98" s="179">
        <v>3</v>
      </c>
      <c r="D98" s="179">
        <v>4</v>
      </c>
      <c r="E98" s="179">
        <v>5</v>
      </c>
    </row>
    <row r="99" spans="1:5" ht="19.5" hidden="1" thickBot="1">
      <c r="A99" s="174"/>
      <c r="B99" s="179"/>
      <c r="C99" s="50">
        <v>0</v>
      </c>
      <c r="D99" s="50">
        <v>0</v>
      </c>
      <c r="E99" s="50">
        <f>C99*D99</f>
        <v>0</v>
      </c>
    </row>
    <row r="100" spans="1:5" ht="19.5" hidden="1" thickBot="1">
      <c r="A100" s="174"/>
      <c r="B100" s="64" t="s">
        <v>307</v>
      </c>
      <c r="C100" s="65">
        <f>C99</f>
        <v>0</v>
      </c>
      <c r="D100" s="65">
        <f>D99</f>
        <v>0</v>
      </c>
      <c r="E100" s="65">
        <f>E99</f>
        <v>0</v>
      </c>
    </row>
    <row r="101" spans="1:14" ht="33" customHeight="1">
      <c r="A101" s="712" t="s">
        <v>403</v>
      </c>
      <c r="B101" s="712"/>
      <c r="C101" s="712"/>
      <c r="D101" s="712"/>
      <c r="E101" s="712"/>
      <c r="F101" s="712"/>
      <c r="M101" s="222">
        <v>0</v>
      </c>
      <c r="N101" s="223">
        <v>0</v>
      </c>
    </row>
    <row r="102" spans="1:27" ht="33" customHeight="1" thickBot="1">
      <c r="A102" s="180"/>
      <c r="B102" s="180"/>
      <c r="C102" s="180"/>
      <c r="D102" s="180"/>
      <c r="E102" s="180"/>
      <c r="F102" s="180"/>
      <c r="M102" s="137"/>
      <c r="N102" s="138"/>
      <c r="AA102" s="138"/>
    </row>
    <row r="103" spans="1:7" ht="42" customHeight="1" thickBot="1">
      <c r="A103" s="4" t="s">
        <v>292</v>
      </c>
      <c r="B103" s="176" t="s">
        <v>0</v>
      </c>
      <c r="C103" s="176" t="s">
        <v>349</v>
      </c>
      <c r="D103" s="176" t="s">
        <v>350</v>
      </c>
      <c r="E103" s="176" t="s">
        <v>351</v>
      </c>
      <c r="F103" s="176" t="s">
        <v>352</v>
      </c>
      <c r="G103" s="176" t="s">
        <v>353</v>
      </c>
    </row>
    <row r="104" spans="1:9" ht="19.5" thickBot="1">
      <c r="A104" s="174">
        <v>1</v>
      </c>
      <c r="B104" s="179">
        <v>2</v>
      </c>
      <c r="C104" s="179">
        <v>3</v>
      </c>
      <c r="D104" s="179">
        <v>4</v>
      </c>
      <c r="E104" s="179">
        <v>5</v>
      </c>
      <c r="F104" s="179">
        <v>6</v>
      </c>
      <c r="G104" s="179">
        <v>7</v>
      </c>
      <c r="H104" s="63"/>
      <c r="I104" s="63"/>
    </row>
    <row r="105" spans="1:15" ht="24.75" customHeight="1" thickBot="1">
      <c r="A105" s="174">
        <v>1</v>
      </c>
      <c r="B105" s="174" t="s">
        <v>354</v>
      </c>
      <c r="C105" s="50" t="s">
        <v>355</v>
      </c>
      <c r="D105" s="136">
        <v>731.77</v>
      </c>
      <c r="E105" s="50">
        <v>13330.154379108191</v>
      </c>
      <c r="F105" s="179"/>
      <c r="G105" s="46">
        <f>D105*E105</f>
        <v>9754607.07</v>
      </c>
      <c r="H105" s="63"/>
      <c r="I105" s="63"/>
      <c r="K105" s="222">
        <v>731.77</v>
      </c>
      <c r="L105" s="223">
        <v>9754.60707</v>
      </c>
      <c r="M105" s="12">
        <f>L105/K105*1000</f>
        <v>13330.154379108191</v>
      </c>
      <c r="N105" s="12"/>
      <c r="O105" s="86"/>
    </row>
    <row r="106" spans="1:15" ht="24.75" customHeight="1" thickBot="1">
      <c r="A106" s="174">
        <v>2</v>
      </c>
      <c r="B106" s="174" t="s">
        <v>356</v>
      </c>
      <c r="C106" s="50" t="s">
        <v>355</v>
      </c>
      <c r="D106" s="136">
        <v>13.44</v>
      </c>
      <c r="E106" s="50">
        <v>13426.13988095238</v>
      </c>
      <c r="F106" s="179"/>
      <c r="G106" s="46">
        <f aca="true" t="shared" si="1" ref="G106:G111">D106*E106</f>
        <v>180447.31999999998</v>
      </c>
      <c r="H106" s="63"/>
      <c r="I106" s="63"/>
      <c r="K106" s="222">
        <v>13.44</v>
      </c>
      <c r="L106" s="223">
        <v>180.44732</v>
      </c>
      <c r="M106" s="12">
        <f aca="true" t="shared" si="2" ref="M106:M111">L106/K106*1000</f>
        <v>13426.13988095238</v>
      </c>
      <c r="N106" s="12"/>
      <c r="O106" s="86"/>
    </row>
    <row r="107" spans="1:15" ht="24.75" customHeight="1" thickBot="1">
      <c r="A107" s="174">
        <v>3</v>
      </c>
      <c r="B107" s="174" t="s">
        <v>357</v>
      </c>
      <c r="C107" s="50" t="s">
        <v>358</v>
      </c>
      <c r="D107" s="136">
        <v>117610</v>
      </c>
      <c r="E107" s="50">
        <v>12.021238330073972</v>
      </c>
      <c r="F107" s="179"/>
      <c r="G107" s="46">
        <f t="shared" si="1"/>
        <v>1413817.8399999999</v>
      </c>
      <c r="H107" s="63"/>
      <c r="I107" s="63"/>
      <c r="K107" s="222">
        <v>117.61</v>
      </c>
      <c r="L107" s="223">
        <v>1413.81784</v>
      </c>
      <c r="M107" s="12">
        <f>L107/K107</f>
        <v>12.021238330073972</v>
      </c>
      <c r="N107" s="12"/>
      <c r="O107" s="86"/>
    </row>
    <row r="108" spans="1:15" ht="24.75" customHeight="1" thickBot="1">
      <c r="A108" s="174">
        <v>4</v>
      </c>
      <c r="B108" s="174" t="s">
        <v>359</v>
      </c>
      <c r="C108" s="50" t="s">
        <v>360</v>
      </c>
      <c r="D108" s="136">
        <v>1245</v>
      </c>
      <c r="E108" s="50">
        <v>107.25588755020081</v>
      </c>
      <c r="F108" s="179"/>
      <c r="G108" s="46">
        <f t="shared" si="1"/>
        <v>133533.58000000002</v>
      </c>
      <c r="H108" s="63"/>
      <c r="I108" s="63"/>
      <c r="K108" s="224">
        <v>1245</v>
      </c>
      <c r="L108" s="225">
        <v>133.53358</v>
      </c>
      <c r="M108" s="12">
        <f t="shared" si="2"/>
        <v>107.25588755020081</v>
      </c>
      <c r="N108" s="12"/>
      <c r="O108" s="86"/>
    </row>
    <row r="109" spans="1:15" ht="24.75" customHeight="1" thickBot="1">
      <c r="A109" s="174">
        <v>5</v>
      </c>
      <c r="B109" s="174" t="s">
        <v>361</v>
      </c>
      <c r="C109" s="50" t="s">
        <v>360</v>
      </c>
      <c r="D109" s="136">
        <v>1555</v>
      </c>
      <c r="E109" s="50">
        <v>103.72439871382637</v>
      </c>
      <c r="F109" s="179"/>
      <c r="G109" s="46">
        <f t="shared" si="1"/>
        <v>161291.44</v>
      </c>
      <c r="H109" s="63"/>
      <c r="I109" s="63"/>
      <c r="K109" s="224">
        <v>1555</v>
      </c>
      <c r="L109" s="225">
        <v>161.29144</v>
      </c>
      <c r="M109" s="12">
        <f t="shared" si="2"/>
        <v>103.72439871382637</v>
      </c>
      <c r="N109" s="12"/>
      <c r="O109" s="86"/>
    </row>
    <row r="110" spans="1:15" ht="24.75" customHeight="1" thickBot="1">
      <c r="A110" s="174">
        <v>6</v>
      </c>
      <c r="B110" s="174" t="s">
        <v>362</v>
      </c>
      <c r="C110" s="50" t="s">
        <v>360</v>
      </c>
      <c r="D110" s="136">
        <v>310</v>
      </c>
      <c r="E110" s="50">
        <v>103.1375806451613</v>
      </c>
      <c r="F110" s="179"/>
      <c r="G110" s="46">
        <f t="shared" si="1"/>
        <v>31972.65</v>
      </c>
      <c r="H110" s="63"/>
      <c r="I110" s="63"/>
      <c r="K110" s="224">
        <v>310</v>
      </c>
      <c r="L110" s="225">
        <v>31.97265</v>
      </c>
      <c r="M110" s="12">
        <f t="shared" si="2"/>
        <v>103.1375806451613</v>
      </c>
      <c r="N110" s="12"/>
      <c r="O110" s="86"/>
    </row>
    <row r="111" spans="1:15" ht="24.75" customHeight="1" thickBot="1">
      <c r="A111" s="174">
        <v>7</v>
      </c>
      <c r="B111" s="179" t="s">
        <v>508</v>
      </c>
      <c r="C111" s="50" t="s">
        <v>517</v>
      </c>
      <c r="D111" s="136">
        <v>171.6</v>
      </c>
      <c r="E111" s="50">
        <v>780.5649766899767</v>
      </c>
      <c r="F111" s="179"/>
      <c r="G111" s="46">
        <f t="shared" si="1"/>
        <v>133944.94999999998</v>
      </c>
      <c r="H111" s="63"/>
      <c r="I111" s="63"/>
      <c r="K111" s="224">
        <v>171.6</v>
      </c>
      <c r="L111" s="225">
        <v>133.94495</v>
      </c>
      <c r="M111" s="12">
        <f t="shared" si="2"/>
        <v>780.5649766899767</v>
      </c>
      <c r="N111" s="12"/>
      <c r="O111" s="86"/>
    </row>
    <row r="112" spans="1:12" ht="19.5" thickBot="1">
      <c r="A112" s="174"/>
      <c r="B112" s="173" t="s">
        <v>307</v>
      </c>
      <c r="C112" s="5" t="s">
        <v>313</v>
      </c>
      <c r="D112" s="5" t="s">
        <v>313</v>
      </c>
      <c r="E112" s="5" t="s">
        <v>313</v>
      </c>
      <c r="F112" s="5" t="s">
        <v>313</v>
      </c>
      <c r="G112" s="9">
        <f>G110+G109+G108+G107+G106+G105+G111</f>
        <v>11809614.85</v>
      </c>
      <c r="H112" s="66"/>
      <c r="K112" s="67"/>
      <c r="L112" s="223">
        <v>11809.61485</v>
      </c>
    </row>
    <row r="113" spans="8:12" ht="15">
      <c r="H113" s="66"/>
      <c r="L113" s="1">
        <f>11809.61485*1000</f>
        <v>11809614.85</v>
      </c>
    </row>
    <row r="114" spans="1:6" ht="18.75" hidden="1">
      <c r="A114" s="712" t="s">
        <v>404</v>
      </c>
      <c r="B114" s="712"/>
      <c r="C114" s="712"/>
      <c r="D114" s="712"/>
      <c r="E114" s="712"/>
      <c r="F114" s="8"/>
    </row>
    <row r="115" ht="15" hidden="1"/>
    <row r="116" spans="1:5" ht="38.25" hidden="1" thickBot="1">
      <c r="A116" s="4" t="s">
        <v>292</v>
      </c>
      <c r="B116" s="176" t="s">
        <v>0</v>
      </c>
      <c r="C116" s="176" t="s">
        <v>363</v>
      </c>
      <c r="D116" s="176" t="s">
        <v>364</v>
      </c>
      <c r="E116" s="176" t="s">
        <v>365</v>
      </c>
    </row>
    <row r="117" spans="1:5" ht="19.5" hidden="1" thickBot="1">
      <c r="A117" s="174">
        <v>1</v>
      </c>
      <c r="B117" s="179">
        <v>2</v>
      </c>
      <c r="C117" s="179">
        <v>3</v>
      </c>
      <c r="D117" s="179">
        <v>4</v>
      </c>
      <c r="E117" s="179">
        <v>5</v>
      </c>
    </row>
    <row r="118" spans="1:5" ht="19.5" hidden="1" thickBot="1">
      <c r="A118" s="174"/>
      <c r="B118" s="179"/>
      <c r="C118" s="179"/>
      <c r="D118" s="179"/>
      <c r="E118" s="179"/>
    </row>
    <row r="119" spans="1:5" ht="19.5" hidden="1" thickBot="1">
      <c r="A119" s="174"/>
      <c r="B119" s="68" t="s">
        <v>307</v>
      </c>
      <c r="C119" s="179" t="s">
        <v>313</v>
      </c>
      <c r="D119" s="179" t="s">
        <v>313</v>
      </c>
      <c r="E119" s="179">
        <f>E118</f>
        <v>0</v>
      </c>
    </row>
    <row r="120" ht="15" hidden="1"/>
    <row r="121" spans="1:12" ht="31.5" customHeight="1" thickBot="1">
      <c r="A121" s="719" t="s">
        <v>405</v>
      </c>
      <c r="B121" s="719"/>
      <c r="C121" s="719"/>
      <c r="D121" s="719"/>
      <c r="E121" s="719"/>
      <c r="L121" s="12">
        <f>L113-G112</f>
        <v>0</v>
      </c>
    </row>
    <row r="122" spans="1:5" ht="48" customHeight="1" thickBot="1">
      <c r="A122" s="4" t="s">
        <v>292</v>
      </c>
      <c r="B122" s="176" t="s">
        <v>308</v>
      </c>
      <c r="C122" s="176" t="s">
        <v>366</v>
      </c>
      <c r="D122" s="176" t="s">
        <v>367</v>
      </c>
      <c r="E122" s="176" t="s">
        <v>368</v>
      </c>
    </row>
    <row r="123" spans="1:5" ht="19.5" thickBot="1">
      <c r="A123" s="174">
        <v>1</v>
      </c>
      <c r="B123" s="179">
        <v>2</v>
      </c>
      <c r="C123" s="179">
        <v>3</v>
      </c>
      <c r="D123" s="179">
        <v>4</v>
      </c>
      <c r="E123" s="179">
        <v>5</v>
      </c>
    </row>
    <row r="124" spans="1:5" ht="28.5" customHeight="1" thickBot="1">
      <c r="A124" s="174"/>
      <c r="B124" s="714" t="s">
        <v>439</v>
      </c>
      <c r="C124" s="715"/>
      <c r="D124" s="715"/>
      <c r="E124" s="716"/>
    </row>
    <row r="125" spans="1:5" ht="25.5" customHeight="1" thickBot="1">
      <c r="A125" s="174">
        <v>1</v>
      </c>
      <c r="B125" s="10" t="s">
        <v>369</v>
      </c>
      <c r="C125" s="179"/>
      <c r="D125" s="179">
        <v>12</v>
      </c>
      <c r="E125" s="6">
        <v>105600</v>
      </c>
    </row>
    <row r="126" spans="1:5" ht="25.5" customHeight="1" thickBot="1">
      <c r="A126" s="174">
        <v>2</v>
      </c>
      <c r="B126" s="10" t="s">
        <v>370</v>
      </c>
      <c r="C126" s="179"/>
      <c r="D126" s="179">
        <v>12</v>
      </c>
      <c r="E126" s="6">
        <v>28920</v>
      </c>
    </row>
    <row r="127" spans="1:5" ht="25.5" customHeight="1" thickBot="1">
      <c r="A127" s="174">
        <v>3</v>
      </c>
      <c r="B127" s="10" t="s">
        <v>548</v>
      </c>
      <c r="C127" s="179"/>
      <c r="D127" s="179">
        <v>12</v>
      </c>
      <c r="E127" s="6">
        <v>48587</v>
      </c>
    </row>
    <row r="128" spans="1:5" ht="25.5" customHeight="1" thickBot="1">
      <c r="A128" s="174">
        <v>4</v>
      </c>
      <c r="B128" s="10" t="s">
        <v>371</v>
      </c>
      <c r="C128" s="179"/>
      <c r="D128" s="179">
        <v>12</v>
      </c>
      <c r="E128" s="6">
        <v>33000</v>
      </c>
    </row>
    <row r="129" spans="1:5" ht="25.5" customHeight="1" thickBot="1">
      <c r="A129" s="174">
        <v>5</v>
      </c>
      <c r="B129" s="10" t="s">
        <v>372</v>
      </c>
      <c r="C129" s="179"/>
      <c r="D129" s="179">
        <v>1</v>
      </c>
      <c r="E129" s="6">
        <v>320000</v>
      </c>
    </row>
    <row r="130" spans="1:5" ht="25.5" customHeight="1" thickBot="1">
      <c r="A130" s="174">
        <v>6</v>
      </c>
      <c r="B130" s="10" t="s">
        <v>373</v>
      </c>
      <c r="C130" s="179"/>
      <c r="D130" s="179">
        <v>4</v>
      </c>
      <c r="E130" s="6">
        <v>40000</v>
      </c>
    </row>
    <row r="131" spans="1:5" ht="25.5" customHeight="1" thickBot="1">
      <c r="A131" s="174">
        <v>7</v>
      </c>
      <c r="B131" s="10" t="s">
        <v>374</v>
      </c>
      <c r="C131" s="179"/>
      <c r="D131" s="179"/>
      <c r="E131" s="6">
        <f>80000+2626991.24</f>
        <v>2706991.24</v>
      </c>
    </row>
    <row r="132" spans="1:5" ht="25.5" customHeight="1" thickBot="1">
      <c r="A132" s="174">
        <v>8</v>
      </c>
      <c r="B132" s="10" t="s">
        <v>375</v>
      </c>
      <c r="C132" s="179"/>
      <c r="D132" s="179"/>
      <c r="E132" s="6">
        <f>58800</f>
        <v>58800</v>
      </c>
    </row>
    <row r="133" spans="1:5" ht="25.5" customHeight="1" thickBot="1">
      <c r="A133" s="174">
        <v>9</v>
      </c>
      <c r="B133" s="10" t="s">
        <v>565</v>
      </c>
      <c r="C133" s="179"/>
      <c r="D133" s="179"/>
      <c r="E133" s="6">
        <v>57600</v>
      </c>
    </row>
    <row r="134" spans="1:5" ht="25.5" customHeight="1" thickBot="1">
      <c r="A134" s="174">
        <v>10</v>
      </c>
      <c r="B134" s="10" t="s">
        <v>563</v>
      </c>
      <c r="C134" s="179"/>
      <c r="D134" s="179"/>
      <c r="E134" s="6">
        <v>92400</v>
      </c>
    </row>
    <row r="135" spans="1:5" ht="25.5" customHeight="1" thickBot="1">
      <c r="A135" s="174">
        <v>11</v>
      </c>
      <c r="B135" s="10" t="s">
        <v>564</v>
      </c>
      <c r="C135" s="179"/>
      <c r="D135" s="179"/>
      <c r="E135" s="6">
        <v>72000</v>
      </c>
    </row>
    <row r="136" spans="1:5" ht="25.5" customHeight="1" thickBot="1">
      <c r="A136" s="174">
        <v>12</v>
      </c>
      <c r="B136" s="10" t="s">
        <v>532</v>
      </c>
      <c r="C136" s="179"/>
      <c r="D136" s="179"/>
      <c r="E136" s="6">
        <v>55000</v>
      </c>
    </row>
    <row r="137" spans="1:5" ht="25.5" customHeight="1" thickBot="1">
      <c r="A137" s="174">
        <v>13</v>
      </c>
      <c r="B137" s="10" t="s">
        <v>376</v>
      </c>
      <c r="C137" s="179"/>
      <c r="D137" s="179">
        <v>1</v>
      </c>
      <c r="E137" s="6">
        <v>100000</v>
      </c>
    </row>
    <row r="138" spans="1:5" ht="25.5" customHeight="1" thickBot="1">
      <c r="A138" s="174">
        <v>14</v>
      </c>
      <c r="B138" s="10" t="s">
        <v>533</v>
      </c>
      <c r="C138" s="179"/>
      <c r="D138" s="179"/>
      <c r="E138" s="6">
        <v>10000</v>
      </c>
    </row>
    <row r="139" spans="1:5" ht="25.5" customHeight="1" thickBot="1">
      <c r="A139" s="174">
        <v>15</v>
      </c>
      <c r="B139" s="10" t="s">
        <v>534</v>
      </c>
      <c r="C139" s="179"/>
      <c r="D139" s="179"/>
      <c r="E139" s="6">
        <v>25000</v>
      </c>
    </row>
    <row r="140" spans="1:5" ht="28.5" customHeight="1" thickBot="1">
      <c r="A140" s="174">
        <v>16</v>
      </c>
      <c r="B140" s="10" t="s">
        <v>499</v>
      </c>
      <c r="C140" s="179"/>
      <c r="D140" s="179"/>
      <c r="E140" s="6">
        <f>50000+70065</f>
        <v>120065</v>
      </c>
    </row>
    <row r="141" spans="1:11" ht="23.25" customHeight="1" thickBot="1">
      <c r="A141" s="174"/>
      <c r="B141" s="173" t="s">
        <v>440</v>
      </c>
      <c r="C141" s="179"/>
      <c r="D141" s="179"/>
      <c r="E141" s="7">
        <f>SUM(E125:E140)</f>
        <v>3873963.24</v>
      </c>
      <c r="F141" s="12"/>
      <c r="K141" s="12">
        <f>1265628.22-E141</f>
        <v>-2608335.0200000005</v>
      </c>
    </row>
    <row r="142" spans="1:5" ht="23.25" customHeight="1" thickBot="1">
      <c r="A142" s="714" t="s">
        <v>441</v>
      </c>
      <c r="B142" s="715"/>
      <c r="C142" s="715"/>
      <c r="D142" s="715"/>
      <c r="E142" s="716"/>
    </row>
    <row r="143" spans="1:5" ht="23.25" customHeight="1" thickBot="1">
      <c r="A143" s="174">
        <v>1</v>
      </c>
      <c r="B143" s="10"/>
      <c r="C143" s="179"/>
      <c r="D143" s="179"/>
      <c r="E143" s="6">
        <v>0</v>
      </c>
    </row>
    <row r="144" spans="1:5" ht="23.25" customHeight="1" thickBot="1">
      <c r="A144" s="174"/>
      <c r="B144" s="10"/>
      <c r="C144" s="179"/>
      <c r="D144" s="179"/>
      <c r="E144" s="6"/>
    </row>
    <row r="145" spans="1:5" ht="23.25" customHeight="1" thickBot="1">
      <c r="A145" s="174"/>
      <c r="B145" s="173" t="s">
        <v>440</v>
      </c>
      <c r="C145" s="179"/>
      <c r="D145" s="179"/>
      <c r="E145" s="7">
        <f>E144+E143</f>
        <v>0</v>
      </c>
    </row>
    <row r="146" spans="1:5" ht="23.25" customHeight="1" thickBot="1">
      <c r="A146" s="714" t="s">
        <v>442</v>
      </c>
      <c r="B146" s="715"/>
      <c r="C146" s="715"/>
      <c r="D146" s="715"/>
      <c r="E146" s="716"/>
    </row>
    <row r="147" spans="1:5" ht="23.25" customHeight="1" thickBot="1">
      <c r="A147" s="174">
        <v>1</v>
      </c>
      <c r="B147" s="10" t="s">
        <v>374</v>
      </c>
      <c r="C147" s="179"/>
      <c r="D147" s="179"/>
      <c r="E147" s="6">
        <v>0</v>
      </c>
    </row>
    <row r="148" spans="1:5" ht="23.25" customHeight="1" thickBot="1">
      <c r="A148" s="174"/>
      <c r="B148" s="173" t="s">
        <v>440</v>
      </c>
      <c r="C148" s="179"/>
      <c r="D148" s="179"/>
      <c r="E148" s="6">
        <f>E147</f>
        <v>0</v>
      </c>
    </row>
    <row r="149" spans="1:13" ht="25.5" customHeight="1" thickBot="1">
      <c r="A149" s="174"/>
      <c r="B149" s="173" t="s">
        <v>443</v>
      </c>
      <c r="C149" s="5" t="s">
        <v>313</v>
      </c>
      <c r="D149" s="5" t="s">
        <v>313</v>
      </c>
      <c r="E149" s="7">
        <f>E148+E145+E141</f>
        <v>3873963.24</v>
      </c>
      <c r="F149" s="30"/>
      <c r="L149" s="12"/>
      <c r="M149" s="30"/>
    </row>
    <row r="150" spans="1:14" ht="28.5" customHeight="1" thickBot="1">
      <c r="A150" s="768" t="s">
        <v>406</v>
      </c>
      <c r="B150" s="768"/>
      <c r="C150" s="768"/>
      <c r="D150" s="768"/>
      <c r="E150" s="768"/>
      <c r="L150" s="12"/>
      <c r="M150" s="12"/>
      <c r="N150" s="12"/>
    </row>
    <row r="151" spans="1:4" ht="43.5" customHeight="1" thickBot="1">
      <c r="A151" s="4" t="s">
        <v>292</v>
      </c>
      <c r="B151" s="176" t="s">
        <v>308</v>
      </c>
      <c r="C151" s="176" t="s">
        <v>377</v>
      </c>
      <c r="D151" s="176" t="s">
        <v>378</v>
      </c>
    </row>
    <row r="152" spans="1:4" ht="19.5" thickBot="1">
      <c r="A152" s="174">
        <v>1</v>
      </c>
      <c r="B152" s="179">
        <v>2</v>
      </c>
      <c r="C152" s="179">
        <v>3</v>
      </c>
      <c r="D152" s="179">
        <v>4</v>
      </c>
    </row>
    <row r="153" spans="1:4" ht="27.75" customHeight="1" thickBot="1">
      <c r="A153" s="714" t="s">
        <v>439</v>
      </c>
      <c r="B153" s="715"/>
      <c r="C153" s="715"/>
      <c r="D153" s="716"/>
    </row>
    <row r="154" spans="1:4" ht="24.75" customHeight="1" thickBot="1">
      <c r="A154" s="174">
        <v>1</v>
      </c>
      <c r="B154" s="10" t="s">
        <v>379</v>
      </c>
      <c r="C154" s="179"/>
      <c r="D154" s="6">
        <v>156000</v>
      </c>
    </row>
    <row r="155" spans="1:4" ht="24.75" customHeight="1" thickBot="1">
      <c r="A155" s="174">
        <v>2</v>
      </c>
      <c r="B155" s="10" t="s">
        <v>380</v>
      </c>
      <c r="C155" s="179"/>
      <c r="D155" s="6">
        <f>300000+100000</f>
        <v>400000</v>
      </c>
    </row>
    <row r="156" spans="1:4" ht="24.75" customHeight="1" thickBot="1">
      <c r="A156" s="174">
        <v>3</v>
      </c>
      <c r="B156" s="10" t="s">
        <v>381</v>
      </c>
      <c r="C156" s="179"/>
      <c r="D156" s="6">
        <v>120000</v>
      </c>
    </row>
    <row r="157" spans="1:4" ht="24.75" customHeight="1" thickBot="1">
      <c r="A157" s="174">
        <v>4</v>
      </c>
      <c r="B157" s="10" t="s">
        <v>566</v>
      </c>
      <c r="C157" s="179"/>
      <c r="D157" s="6">
        <v>15000</v>
      </c>
    </row>
    <row r="158" spans="1:4" ht="24.75" customHeight="1" thickBot="1">
      <c r="A158" s="174">
        <v>5</v>
      </c>
      <c r="B158" s="10" t="s">
        <v>500</v>
      </c>
      <c r="C158" s="179"/>
      <c r="D158" s="6">
        <v>360000</v>
      </c>
    </row>
    <row r="159" spans="1:4" ht="24.75" customHeight="1" thickBot="1">
      <c r="A159" s="174">
        <v>6</v>
      </c>
      <c r="B159" s="10" t="s">
        <v>546</v>
      </c>
      <c r="C159" s="179"/>
      <c r="D159" s="6">
        <v>30000</v>
      </c>
    </row>
    <row r="160" spans="1:4" ht="24.75" customHeight="1" thickBot="1">
      <c r="A160" s="174">
        <v>7</v>
      </c>
      <c r="B160" s="10" t="s">
        <v>550</v>
      </c>
      <c r="C160" s="179"/>
      <c r="D160" s="6">
        <v>18500</v>
      </c>
    </row>
    <row r="161" spans="1:4" ht="24.75" customHeight="1" thickBot="1">
      <c r="A161" s="174">
        <v>8</v>
      </c>
      <c r="B161" s="10" t="s">
        <v>562</v>
      </c>
      <c r="C161" s="179"/>
      <c r="D161" s="6">
        <f>1399008+764742</f>
        <v>2163750</v>
      </c>
    </row>
    <row r="162" spans="1:4" ht="24.75" customHeight="1" hidden="1" thickBot="1">
      <c r="A162" s="174">
        <v>10</v>
      </c>
      <c r="B162" s="10" t="s">
        <v>501</v>
      </c>
      <c r="C162" s="179"/>
      <c r="D162" s="6">
        <v>0</v>
      </c>
    </row>
    <row r="163" spans="1:11" ht="26.25" customHeight="1" thickBot="1">
      <c r="A163" s="174"/>
      <c r="B163" s="173" t="s">
        <v>307</v>
      </c>
      <c r="C163" s="5" t="s">
        <v>313</v>
      </c>
      <c r="D163" s="7">
        <f>SUM(D154:D162)</f>
        <v>3263250</v>
      </c>
      <c r="K163" s="12">
        <f>(1159500+1399008-60000)-D163</f>
        <v>-764742</v>
      </c>
    </row>
    <row r="164" spans="1:4" ht="26.25" customHeight="1" thickBot="1">
      <c r="A164" s="714" t="s">
        <v>441</v>
      </c>
      <c r="B164" s="715"/>
      <c r="C164" s="715"/>
      <c r="D164" s="716"/>
    </row>
    <row r="165" spans="1:4" ht="35.25" customHeight="1" thickBot="1">
      <c r="A165" s="210">
        <v>1</v>
      </c>
      <c r="B165" s="212"/>
      <c r="C165" s="213"/>
      <c r="D165" s="211">
        <v>0</v>
      </c>
    </row>
    <row r="166" spans="1:4" ht="26.25" customHeight="1" hidden="1" thickBot="1">
      <c r="A166" s="210"/>
      <c r="B166" s="212"/>
      <c r="C166" s="213"/>
      <c r="D166" s="211"/>
    </row>
    <row r="167" spans="1:4" ht="26.25" customHeight="1" thickBot="1">
      <c r="A167" s="174"/>
      <c r="B167" s="173" t="s">
        <v>307</v>
      </c>
      <c r="C167" s="5" t="s">
        <v>313</v>
      </c>
      <c r="D167" s="7">
        <f>D165+D166</f>
        <v>0</v>
      </c>
    </row>
    <row r="168" spans="1:4" ht="26.25" customHeight="1" thickBot="1">
      <c r="A168" s="714" t="s">
        <v>442</v>
      </c>
      <c r="B168" s="715"/>
      <c r="C168" s="715"/>
      <c r="D168" s="716"/>
    </row>
    <row r="169" spans="1:4" ht="31.5" customHeight="1" thickBot="1">
      <c r="A169" s="174">
        <v>1</v>
      </c>
      <c r="B169" s="10"/>
      <c r="C169" s="5"/>
      <c r="D169" s="6"/>
    </row>
    <row r="170" spans="1:4" ht="26.25" customHeight="1" thickBot="1">
      <c r="A170" s="174"/>
      <c r="B170" s="173" t="s">
        <v>307</v>
      </c>
      <c r="C170" s="5" t="s">
        <v>313</v>
      </c>
      <c r="D170" s="7">
        <f>D169</f>
        <v>0</v>
      </c>
    </row>
    <row r="171" spans="1:14" ht="29.25" customHeight="1" thickBot="1">
      <c r="A171" s="174"/>
      <c r="B171" s="173" t="s">
        <v>444</v>
      </c>
      <c r="C171" s="5" t="s">
        <v>313</v>
      </c>
      <c r="D171" s="7">
        <f>D170+D167+D163</f>
        <v>3263250</v>
      </c>
      <c r="E171" s="30"/>
      <c r="L171" s="12"/>
      <c r="M171" s="12"/>
      <c r="N171" s="12"/>
    </row>
    <row r="172" spans="1:14" ht="15">
      <c r="A172" s="48"/>
      <c r="B172" s="48"/>
      <c r="C172" s="48"/>
      <c r="D172" s="48"/>
      <c r="E172" s="48"/>
      <c r="F172" s="48"/>
      <c r="G172" s="48"/>
      <c r="H172" s="48"/>
      <c r="I172" s="48"/>
      <c r="J172" s="48"/>
      <c r="K172" s="48"/>
      <c r="L172" s="48"/>
      <c r="M172" s="48"/>
      <c r="N172" s="48"/>
    </row>
    <row r="173" spans="1:5" ht="18.75" hidden="1">
      <c r="A173" s="719" t="s">
        <v>382</v>
      </c>
      <c r="B173" s="719"/>
      <c r="C173" s="719"/>
      <c r="D173" s="719"/>
      <c r="E173" s="719"/>
    </row>
    <row r="174" ht="18.75" hidden="1">
      <c r="A174" s="69"/>
    </row>
    <row r="175" spans="1:4" ht="38.25" hidden="1" thickBot="1">
      <c r="A175" s="4" t="s">
        <v>292</v>
      </c>
      <c r="B175" s="176" t="s">
        <v>308</v>
      </c>
      <c r="C175" s="176" t="s">
        <v>377</v>
      </c>
      <c r="D175" s="176" t="s">
        <v>378</v>
      </c>
    </row>
    <row r="176" spans="1:4" ht="19.5" hidden="1" thickBot="1">
      <c r="A176" s="174">
        <v>1</v>
      </c>
      <c r="B176" s="179">
        <v>2</v>
      </c>
      <c r="C176" s="179">
        <v>3</v>
      </c>
      <c r="D176" s="179">
        <v>4</v>
      </c>
    </row>
    <row r="177" spans="1:4" ht="19.5" hidden="1" thickBot="1">
      <c r="A177" s="174">
        <v>1</v>
      </c>
      <c r="B177" s="10" t="s">
        <v>383</v>
      </c>
      <c r="C177" s="179">
        <v>1</v>
      </c>
      <c r="D177" s="6">
        <v>0</v>
      </c>
    </row>
    <row r="178" spans="1:5" ht="19.5" hidden="1" thickBot="1">
      <c r="A178" s="174"/>
      <c r="B178" s="173" t="s">
        <v>307</v>
      </c>
      <c r="C178" s="5" t="s">
        <v>313</v>
      </c>
      <c r="D178" s="7">
        <f>SUM(D177:D177)</f>
        <v>0</v>
      </c>
      <c r="E178" s="30"/>
    </row>
    <row r="179" spans="1:6" ht="31.5" customHeight="1" thickBot="1">
      <c r="A179" s="719" t="s">
        <v>407</v>
      </c>
      <c r="B179" s="719"/>
      <c r="C179" s="719"/>
      <c r="D179" s="719"/>
      <c r="E179" s="719"/>
      <c r="F179" s="719"/>
    </row>
    <row r="180" spans="1:5" ht="42" customHeight="1" thickBot="1">
      <c r="A180" s="4" t="s">
        <v>292</v>
      </c>
      <c r="B180" s="176" t="s">
        <v>308</v>
      </c>
      <c r="C180" s="176" t="s">
        <v>363</v>
      </c>
      <c r="D180" s="176" t="s">
        <v>384</v>
      </c>
      <c r="E180" s="176" t="s">
        <v>385</v>
      </c>
    </row>
    <row r="181" spans="1:5" ht="19.5" thickBot="1">
      <c r="A181" s="174"/>
      <c r="B181" s="179">
        <v>1</v>
      </c>
      <c r="C181" s="179">
        <v>2</v>
      </c>
      <c r="D181" s="179">
        <v>3</v>
      </c>
      <c r="E181" s="179">
        <v>4</v>
      </c>
    </row>
    <row r="182" spans="1:5" ht="54.75" customHeight="1" hidden="1" thickBot="1">
      <c r="A182" s="174">
        <v>1</v>
      </c>
      <c r="B182" s="10" t="s">
        <v>386</v>
      </c>
      <c r="C182" s="179"/>
      <c r="D182" s="6"/>
      <c r="E182" s="6">
        <f>D182</f>
        <v>0</v>
      </c>
    </row>
    <row r="183" spans="1:5" ht="30" customHeight="1" thickBot="1">
      <c r="A183" s="714" t="s">
        <v>439</v>
      </c>
      <c r="B183" s="715"/>
      <c r="C183" s="715"/>
      <c r="D183" s="715"/>
      <c r="E183" s="716"/>
    </row>
    <row r="184" spans="1:5" ht="36" customHeight="1" thickBot="1">
      <c r="A184" s="174">
        <v>1</v>
      </c>
      <c r="B184" s="10" t="s">
        <v>386</v>
      </c>
      <c r="C184" s="179"/>
      <c r="D184" s="6">
        <f>E184</f>
        <v>208555</v>
      </c>
      <c r="E184" s="6">
        <f>208555</f>
        <v>208555</v>
      </c>
    </row>
    <row r="185" spans="1:5" ht="45" customHeight="1" thickBot="1">
      <c r="A185" s="174">
        <v>2</v>
      </c>
      <c r="B185" s="10" t="s">
        <v>567</v>
      </c>
      <c r="C185" s="179"/>
      <c r="D185" s="6">
        <f>E185</f>
        <v>4364930.51</v>
      </c>
      <c r="E185" s="6">
        <f>3106600+1258330.51</f>
        <v>4364930.51</v>
      </c>
    </row>
    <row r="186" spans="1:5" ht="48" customHeight="1" thickBot="1">
      <c r="A186" s="174">
        <v>3</v>
      </c>
      <c r="B186" s="10" t="s">
        <v>568</v>
      </c>
      <c r="C186" s="179"/>
      <c r="D186" s="6">
        <f>E186</f>
        <v>56473.81</v>
      </c>
      <c r="E186" s="6">
        <f>50000+6473.81</f>
        <v>56473.81</v>
      </c>
    </row>
    <row r="187" spans="1:5" ht="29.25" customHeight="1" thickBot="1">
      <c r="A187" s="174"/>
      <c r="B187" s="173" t="s">
        <v>445</v>
      </c>
      <c r="C187" s="5"/>
      <c r="D187" s="7"/>
      <c r="E187" s="7">
        <f>E186+E185+E184</f>
        <v>4629959.319999999</v>
      </c>
    </row>
    <row r="188" spans="1:5" ht="25.5" customHeight="1" thickBot="1">
      <c r="A188" s="714" t="s">
        <v>441</v>
      </c>
      <c r="B188" s="715"/>
      <c r="C188" s="715"/>
      <c r="D188" s="715"/>
      <c r="E188" s="716"/>
    </row>
    <row r="189" spans="1:5" ht="30" customHeight="1" thickBot="1">
      <c r="A189" s="174">
        <v>1</v>
      </c>
      <c r="B189" s="10"/>
      <c r="C189" s="5"/>
      <c r="D189" s="6">
        <f>E189</f>
        <v>0</v>
      </c>
      <c r="E189" s="6"/>
    </row>
    <row r="190" spans="1:5" ht="27" customHeight="1" thickBot="1">
      <c r="A190" s="174"/>
      <c r="B190" s="173" t="s">
        <v>445</v>
      </c>
      <c r="C190" s="5"/>
      <c r="D190" s="7"/>
      <c r="E190" s="7">
        <f>E189</f>
        <v>0</v>
      </c>
    </row>
    <row r="191" spans="1:5" ht="27.75" customHeight="1" thickBot="1">
      <c r="A191" s="714" t="s">
        <v>442</v>
      </c>
      <c r="B191" s="715"/>
      <c r="C191" s="715"/>
      <c r="D191" s="715"/>
      <c r="E191" s="716"/>
    </row>
    <row r="192" spans="1:5" ht="30.75" customHeight="1" thickBot="1">
      <c r="A192" s="174">
        <v>1</v>
      </c>
      <c r="B192" s="10"/>
      <c r="C192" s="5"/>
      <c r="D192" s="6">
        <f>E192</f>
        <v>0</v>
      </c>
      <c r="E192" s="6"/>
    </row>
    <row r="193" spans="1:5" ht="31.5" customHeight="1" thickBot="1">
      <c r="A193" s="174"/>
      <c r="B193" s="173" t="s">
        <v>445</v>
      </c>
      <c r="C193" s="5"/>
      <c r="D193" s="7"/>
      <c r="E193" s="7">
        <f>E192</f>
        <v>0</v>
      </c>
    </row>
    <row r="194" spans="1:5" ht="24.75" customHeight="1" thickBot="1">
      <c r="A194" s="11"/>
      <c r="B194" s="173" t="s">
        <v>446</v>
      </c>
      <c r="C194" s="5"/>
      <c r="D194" s="7"/>
      <c r="E194" s="7">
        <f>E193+E190+E187</f>
        <v>4629959.319999999</v>
      </c>
    </row>
    <row r="195" spans="1:5" ht="24.75" customHeight="1" thickBot="1">
      <c r="A195" s="714" t="s">
        <v>439</v>
      </c>
      <c r="B195" s="715"/>
      <c r="C195" s="715"/>
      <c r="D195" s="715"/>
      <c r="E195" s="716"/>
    </row>
    <row r="196" spans="1:11" ht="33" customHeight="1" thickBot="1">
      <c r="A196" s="174">
        <v>1</v>
      </c>
      <c r="B196" s="10" t="s">
        <v>387</v>
      </c>
      <c r="C196" s="179"/>
      <c r="D196" s="6">
        <f>E196</f>
        <v>78868.21</v>
      </c>
      <c r="E196" s="6">
        <f>150000-71131.79</f>
        <v>78868.21</v>
      </c>
      <c r="K196" s="182">
        <v>346</v>
      </c>
    </row>
    <row r="197" spans="1:11" ht="63" customHeight="1" thickBot="1">
      <c r="A197" s="174">
        <v>2</v>
      </c>
      <c r="B197" s="10" t="s">
        <v>569</v>
      </c>
      <c r="C197" s="179"/>
      <c r="D197" s="6">
        <f aca="true" t="shared" si="3" ref="D197:D205">E197</f>
        <v>10000</v>
      </c>
      <c r="E197" s="6">
        <v>10000</v>
      </c>
      <c r="K197" s="182">
        <v>341</v>
      </c>
    </row>
    <row r="198" spans="1:11" ht="50.25" customHeight="1" hidden="1" thickBot="1">
      <c r="A198" s="174">
        <v>3</v>
      </c>
      <c r="B198" s="10" t="s">
        <v>518</v>
      </c>
      <c r="C198" s="179"/>
      <c r="D198" s="6">
        <f t="shared" si="3"/>
        <v>0</v>
      </c>
      <c r="E198" s="6">
        <v>0</v>
      </c>
      <c r="K198" s="182">
        <v>344</v>
      </c>
    </row>
    <row r="199" spans="1:11" ht="50.25" customHeight="1" hidden="1" thickBot="1">
      <c r="A199" s="174">
        <v>4</v>
      </c>
      <c r="B199" s="10" t="s">
        <v>486</v>
      </c>
      <c r="C199" s="179"/>
      <c r="D199" s="6">
        <f t="shared" si="3"/>
        <v>0</v>
      </c>
      <c r="E199" s="6"/>
      <c r="K199" s="182">
        <v>349</v>
      </c>
    </row>
    <row r="200" spans="1:11" ht="39" customHeight="1" thickBot="1">
      <c r="A200" s="174">
        <v>3</v>
      </c>
      <c r="B200" s="10" t="s">
        <v>388</v>
      </c>
      <c r="C200" s="179"/>
      <c r="D200" s="6">
        <f t="shared" si="3"/>
        <v>84000</v>
      </c>
      <c r="E200" s="6">
        <v>84000</v>
      </c>
      <c r="K200" s="182">
        <v>342</v>
      </c>
    </row>
    <row r="201" spans="1:11" ht="42.75" customHeight="1" hidden="1" thickBot="1">
      <c r="A201" s="174">
        <v>5</v>
      </c>
      <c r="B201" s="10" t="s">
        <v>535</v>
      </c>
      <c r="C201" s="179"/>
      <c r="D201" s="6">
        <f t="shared" si="3"/>
        <v>0</v>
      </c>
      <c r="E201" s="6">
        <v>0</v>
      </c>
      <c r="K201" s="182">
        <v>345</v>
      </c>
    </row>
    <row r="202" spans="1:11" ht="49.5" customHeight="1" hidden="1" thickBot="1">
      <c r="A202" s="174">
        <v>7</v>
      </c>
      <c r="B202" s="10" t="s">
        <v>389</v>
      </c>
      <c r="C202" s="179"/>
      <c r="D202" s="6">
        <f t="shared" si="3"/>
        <v>0</v>
      </c>
      <c r="E202" s="6"/>
      <c r="K202" s="182">
        <v>346</v>
      </c>
    </row>
    <row r="203" spans="1:11" ht="49.5" customHeight="1" hidden="1" thickBot="1">
      <c r="A203" s="174">
        <v>8</v>
      </c>
      <c r="B203" s="10" t="s">
        <v>553</v>
      </c>
      <c r="C203" s="179"/>
      <c r="D203" s="6">
        <f t="shared" si="3"/>
        <v>0</v>
      </c>
      <c r="E203" s="6"/>
      <c r="K203" s="182">
        <v>346</v>
      </c>
    </row>
    <row r="204" spans="1:11" ht="49.5" customHeight="1" hidden="1" thickBot="1">
      <c r="A204" s="174">
        <v>9</v>
      </c>
      <c r="B204" s="10" t="s">
        <v>552</v>
      </c>
      <c r="C204" s="179"/>
      <c r="D204" s="6">
        <f t="shared" si="3"/>
        <v>0</v>
      </c>
      <c r="E204" s="6"/>
      <c r="K204" s="182">
        <v>349</v>
      </c>
    </row>
    <row r="205" spans="1:11" ht="42" customHeight="1" hidden="1" thickBot="1">
      <c r="A205" s="174">
        <v>10</v>
      </c>
      <c r="B205" s="10" t="s">
        <v>551</v>
      </c>
      <c r="C205" s="179"/>
      <c r="D205" s="6">
        <f t="shared" si="3"/>
        <v>0</v>
      </c>
      <c r="E205" s="6"/>
      <c r="K205" s="182">
        <v>349</v>
      </c>
    </row>
    <row r="206" spans="1:11" ht="39" customHeight="1" thickBot="1">
      <c r="A206" s="174"/>
      <c r="B206" s="173" t="s">
        <v>445</v>
      </c>
      <c r="C206" s="5"/>
      <c r="D206" s="7"/>
      <c r="E206" s="7">
        <f>E196+E200+E197+E198+E204+E199+E201+E202+E203+E205</f>
        <v>172868.21000000002</v>
      </c>
      <c r="K206" s="12">
        <f>679362-E206</f>
        <v>506493.79</v>
      </c>
    </row>
    <row r="207" spans="1:5" ht="31.5" customHeight="1" thickBot="1">
      <c r="A207" s="714" t="s">
        <v>441</v>
      </c>
      <c r="B207" s="715"/>
      <c r="C207" s="715"/>
      <c r="D207" s="715"/>
      <c r="E207" s="716"/>
    </row>
    <row r="208" spans="1:11" ht="39" customHeight="1" thickBot="1">
      <c r="A208" s="174">
        <v>1</v>
      </c>
      <c r="B208" s="10" t="s">
        <v>571</v>
      </c>
      <c r="C208" s="179"/>
      <c r="D208" s="6">
        <f>E208</f>
        <v>9681900</v>
      </c>
      <c r="E208" s="6">
        <v>9681900</v>
      </c>
      <c r="K208" s="182">
        <v>342</v>
      </c>
    </row>
    <row r="209" spans="1:11" ht="39" customHeight="1" hidden="1" thickBot="1">
      <c r="A209" s="174">
        <v>2</v>
      </c>
      <c r="B209" s="10" t="s">
        <v>518</v>
      </c>
      <c r="C209" s="179"/>
      <c r="D209" s="6"/>
      <c r="E209" s="6">
        <f>D209</f>
        <v>0</v>
      </c>
      <c r="K209" s="182">
        <v>344</v>
      </c>
    </row>
    <row r="210" spans="1:11" ht="39" customHeight="1" hidden="1" thickBot="1">
      <c r="A210" s="174">
        <v>3</v>
      </c>
      <c r="B210" s="10" t="s">
        <v>485</v>
      </c>
      <c r="C210" s="179"/>
      <c r="D210" s="6"/>
      <c r="E210" s="6">
        <f>D210</f>
        <v>0</v>
      </c>
      <c r="K210" s="182">
        <v>346</v>
      </c>
    </row>
    <row r="211" spans="1:11" ht="39" customHeight="1" thickBot="1">
      <c r="A211" s="174"/>
      <c r="B211" s="173" t="s">
        <v>445</v>
      </c>
      <c r="C211" s="5"/>
      <c r="D211" s="7"/>
      <c r="E211" s="7">
        <f>SUM(E208:E210)</f>
        <v>9681900</v>
      </c>
      <c r="K211" s="182"/>
    </row>
    <row r="212" spans="1:11" ht="30" customHeight="1" thickBot="1">
      <c r="A212" s="714" t="s">
        <v>442</v>
      </c>
      <c r="B212" s="715"/>
      <c r="C212" s="715"/>
      <c r="D212" s="715"/>
      <c r="E212" s="716"/>
      <c r="K212" s="182"/>
    </row>
    <row r="213" spans="1:11" ht="41.25" customHeight="1" hidden="1" thickBot="1">
      <c r="A213" s="174">
        <v>1</v>
      </c>
      <c r="B213" s="214" t="s">
        <v>515</v>
      </c>
      <c r="C213" s="215"/>
      <c r="D213" s="196">
        <f>E213</f>
        <v>0</v>
      </c>
      <c r="E213" s="216"/>
      <c r="K213" s="182">
        <v>349</v>
      </c>
    </row>
    <row r="214" spans="1:11" ht="39" customHeight="1" thickBot="1">
      <c r="A214" s="174">
        <v>1</v>
      </c>
      <c r="B214" s="10" t="s">
        <v>571</v>
      </c>
      <c r="C214" s="5"/>
      <c r="D214" s="226">
        <f>E214</f>
        <v>2037130.7568002422</v>
      </c>
      <c r="E214" s="6">
        <f>'доход 2024г.'!H54</f>
        <v>2037130.7568002422</v>
      </c>
      <c r="K214" s="182">
        <v>342</v>
      </c>
    </row>
    <row r="215" spans="1:11" ht="39" customHeight="1" thickBot="1">
      <c r="A215" s="174">
        <v>2</v>
      </c>
      <c r="B215" s="10" t="s">
        <v>570</v>
      </c>
      <c r="C215" s="5"/>
      <c r="D215" s="226">
        <f>E215</f>
        <v>827280</v>
      </c>
      <c r="E215" s="6">
        <f>'доход 2024г.'!E38</f>
        <v>827280</v>
      </c>
      <c r="K215" s="182">
        <v>346</v>
      </c>
    </row>
    <row r="216" spans="1:5" ht="39" customHeight="1" thickBot="1">
      <c r="A216" s="174"/>
      <c r="B216" s="173" t="s">
        <v>445</v>
      </c>
      <c r="C216" s="5"/>
      <c r="D216" s="7"/>
      <c r="E216" s="217">
        <f>E215+E214+E213</f>
        <v>2864410.7568002422</v>
      </c>
    </row>
    <row r="217" spans="1:5" ht="21.75" customHeight="1" thickBot="1">
      <c r="A217" s="11"/>
      <c r="B217" s="173" t="s">
        <v>447</v>
      </c>
      <c r="C217" s="5"/>
      <c r="D217" s="7"/>
      <c r="E217" s="7">
        <f>E216+E211+E206</f>
        <v>12719178.966800243</v>
      </c>
    </row>
    <row r="218" spans="1:3" ht="15">
      <c r="A218" s="728"/>
      <c r="B218" s="728"/>
      <c r="C218" s="728"/>
    </row>
    <row r="219" spans="6:13" ht="15" hidden="1">
      <c r="F219" s="1" t="s">
        <v>390</v>
      </c>
      <c r="G219" s="30">
        <f>7554636.45</f>
        <v>7554636.45</v>
      </c>
      <c r="H219" s="30">
        <f>E206+E184+D163+E141+F94</f>
        <v>7554636.45</v>
      </c>
      <c r="I219" s="12">
        <f>G219-H219</f>
        <v>0</v>
      </c>
      <c r="J219" s="49"/>
      <c r="K219" s="49"/>
      <c r="M219" s="12"/>
    </row>
    <row r="220" spans="6:11" ht="15" hidden="1">
      <c r="F220" s="1" t="s">
        <v>391</v>
      </c>
      <c r="G220" s="30">
        <v>4364930.51</v>
      </c>
      <c r="H220" s="30">
        <f>E185</f>
        <v>4364930.51</v>
      </c>
      <c r="I220" s="12">
        <f>G220-H220</f>
        <v>0</v>
      </c>
      <c r="J220" s="49"/>
      <c r="K220" s="49"/>
    </row>
    <row r="221" spans="3:11" ht="15" hidden="1">
      <c r="C221" s="1" t="s">
        <v>514</v>
      </c>
      <c r="D221" s="12">
        <f>E149+D170+E193+E212+E213</f>
        <v>3873963.24</v>
      </c>
      <c r="F221" s="1" t="s">
        <v>519</v>
      </c>
      <c r="G221" s="12">
        <v>56473.81</v>
      </c>
      <c r="H221" s="12">
        <f>E186</f>
        <v>56473.81</v>
      </c>
      <c r="I221" s="12">
        <f>G221-H221</f>
        <v>0</v>
      </c>
      <c r="J221" s="70"/>
      <c r="K221" s="49"/>
    </row>
    <row r="222" spans="4:11" ht="15" hidden="1">
      <c r="D222" s="12">
        <f>D221-'доход 2022г '!E62</f>
        <v>3865453.8600000003</v>
      </c>
      <c r="I222" s="12"/>
      <c r="J222" s="49"/>
      <c r="K222" s="49"/>
    </row>
    <row r="223" spans="4:11" ht="15" hidden="1">
      <c r="D223" s="1" t="s">
        <v>516</v>
      </c>
      <c r="G223" s="12"/>
      <c r="J223" s="49"/>
      <c r="K223" s="49"/>
    </row>
    <row r="224" spans="4:11" ht="15" hidden="1">
      <c r="D224" s="71"/>
      <c r="E224" s="12"/>
      <c r="J224" s="51"/>
      <c r="K224" s="51"/>
    </row>
    <row r="225" spans="4:15" ht="15" hidden="1">
      <c r="D225" s="71"/>
      <c r="J225" s="44"/>
      <c r="K225" s="44"/>
      <c r="L225" s="72"/>
      <c r="M225" s="72" t="s">
        <v>502</v>
      </c>
      <c r="N225" s="73" t="s">
        <v>503</v>
      </c>
      <c r="O225" s="74" t="s">
        <v>504</v>
      </c>
    </row>
    <row r="226" spans="4:15" ht="15" hidden="1">
      <c r="D226" s="71"/>
      <c r="E226" s="12"/>
      <c r="L226" s="72" t="s">
        <v>505</v>
      </c>
      <c r="M226" s="75">
        <f>F42+E189+E207+E145+E208+D167+E209+J27+D75</f>
        <v>11983108</v>
      </c>
      <c r="N226" s="75">
        <f>'стр.1_4'!EF49</f>
        <v>11983108</v>
      </c>
      <c r="O226" s="75">
        <f>N226-M226</f>
        <v>0</v>
      </c>
    </row>
    <row r="227" spans="4:15" ht="15" hidden="1">
      <c r="D227" s="71"/>
      <c r="E227" s="12"/>
      <c r="F227" s="12"/>
      <c r="L227" s="76" t="s">
        <v>425</v>
      </c>
      <c r="M227" s="75">
        <f>E216+E148</f>
        <v>2864410.7568002422</v>
      </c>
      <c r="N227" s="75">
        <f>'стр.1_4'!DF32+'стр.1_4'!DF37</f>
        <v>3648482.75</v>
      </c>
      <c r="O227" s="75">
        <f>N227-M227</f>
        <v>784071.9931997578</v>
      </c>
    </row>
    <row r="228" spans="4:16" ht="15" hidden="1">
      <c r="D228" s="71"/>
      <c r="E228" s="12"/>
      <c r="L228" s="72" t="s">
        <v>506</v>
      </c>
      <c r="M228" s="75">
        <f>E206+E187+D163+E141+G112+F94+E86+D58-K54+J23</f>
        <v>94414743.29995</v>
      </c>
      <c r="N228" s="75">
        <f>'стр.1_4'!EF36</f>
        <v>94414743.3</v>
      </c>
      <c r="O228" s="75">
        <f>N228-M228</f>
        <v>4.999339580535889E-05</v>
      </c>
      <c r="P228" s="30"/>
    </row>
    <row r="229" spans="4:15" ht="15" hidden="1">
      <c r="D229" s="71"/>
      <c r="E229" s="12"/>
      <c r="L229" s="72"/>
      <c r="M229" s="75"/>
      <c r="N229" s="75"/>
      <c r="O229" s="75"/>
    </row>
    <row r="230" spans="4:15" ht="15" hidden="1">
      <c r="D230" s="71"/>
      <c r="E230" s="12"/>
      <c r="L230" s="77"/>
      <c r="M230" s="75"/>
      <c r="N230" s="75"/>
      <c r="O230" s="75"/>
    </row>
    <row r="231" spans="4:15" ht="15" hidden="1">
      <c r="D231" s="71"/>
      <c r="E231" s="12"/>
      <c r="L231" s="78"/>
      <c r="M231" s="78"/>
      <c r="N231" s="73"/>
      <c r="O231" s="73"/>
    </row>
    <row r="232" spans="4:5" ht="15" hidden="1">
      <c r="D232" s="71"/>
      <c r="E232" s="12"/>
    </row>
    <row r="233" spans="4:5" ht="15" hidden="1">
      <c r="D233" s="71"/>
      <c r="E233" s="12"/>
    </row>
    <row r="234" ht="15" hidden="1"/>
    <row r="235" spans="12:14" ht="15" hidden="1">
      <c r="L235" s="1" t="s">
        <v>507</v>
      </c>
      <c r="M235" s="12">
        <f>M226+M228</f>
        <v>106397851.29995</v>
      </c>
      <c r="N235" s="79">
        <f>'стр.1_4'!EF36+'стр.1_4'!EF49-M235</f>
        <v>4.999339580535889E-05</v>
      </c>
    </row>
    <row r="236" ht="15" hidden="1"/>
  </sheetData>
  <sheetProtection/>
  <mergeCells count="55">
    <mergeCell ref="B124:E124"/>
    <mergeCell ref="A212:E212"/>
    <mergeCell ref="A150:E150"/>
    <mergeCell ref="A146:E146"/>
    <mergeCell ref="A218:C218"/>
    <mergeCell ref="A173:E173"/>
    <mergeCell ref="A179:F179"/>
    <mergeCell ref="A183:E183"/>
    <mergeCell ref="A188:E188"/>
    <mergeCell ref="A153:D153"/>
    <mergeCell ref="A207:E207"/>
    <mergeCell ref="A61:F61"/>
    <mergeCell ref="A89:F89"/>
    <mergeCell ref="A10:J10"/>
    <mergeCell ref="A11:J11"/>
    <mergeCell ref="A12:J12"/>
    <mergeCell ref="A13:J13"/>
    <mergeCell ref="A14:J14"/>
    <mergeCell ref="A121:E121"/>
    <mergeCell ref="A101:F101"/>
    <mergeCell ref="A114:E114"/>
    <mergeCell ref="A15:A17"/>
    <mergeCell ref="B15:B17"/>
    <mergeCell ref="J15:J17"/>
    <mergeCell ref="D16:D17"/>
    <mergeCell ref="E16:G16"/>
    <mergeCell ref="A49:F49"/>
    <mergeCell ref="A30:F30"/>
    <mergeCell ref="A37:F37"/>
    <mergeCell ref="A95:F95"/>
    <mergeCell ref="A53:A54"/>
    <mergeCell ref="C53:C54"/>
    <mergeCell ref="A70:A71"/>
    <mergeCell ref="C70:C71"/>
    <mergeCell ref="D70:D71"/>
    <mergeCell ref="D53:D54"/>
    <mergeCell ref="A195:E195"/>
    <mergeCell ref="A164:D164"/>
    <mergeCell ref="A168:D168"/>
    <mergeCell ref="A191:E191"/>
    <mergeCell ref="A79:G79"/>
    <mergeCell ref="A59:F59"/>
    <mergeCell ref="A60:F60"/>
    <mergeCell ref="A77:G77"/>
    <mergeCell ref="A78:G78"/>
    <mergeCell ref="A142:E142"/>
    <mergeCell ref="D15:G15"/>
    <mergeCell ref="A23:B23"/>
    <mergeCell ref="I15:I17"/>
    <mergeCell ref="H15:H17"/>
    <mergeCell ref="A66:D66"/>
    <mergeCell ref="A24:J24"/>
    <mergeCell ref="A27:B27"/>
    <mergeCell ref="A44:F44"/>
    <mergeCell ref="C15:C1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35" r:id="rId3"/>
  <legacyDrawing r:id="rId2"/>
</worksheet>
</file>

<file path=xl/worksheets/sheet8.xml><?xml version="1.0" encoding="utf-8"?>
<worksheet xmlns="http://schemas.openxmlformats.org/spreadsheetml/2006/main" xmlns:r="http://schemas.openxmlformats.org/officeDocument/2006/relationships">
  <sheetPr>
    <tabColor rgb="FFFFC000"/>
  </sheetPr>
  <dimension ref="A1:FF84"/>
  <sheetViews>
    <sheetView tabSelected="1" view="pageBreakPreview" zoomScale="76" zoomScaleNormal="68" zoomScaleSheetLayoutView="76" zoomScalePageLayoutView="0" workbookViewId="0" topLeftCell="A1">
      <selection activeCell="B115" sqref="B115"/>
    </sheetView>
  </sheetViews>
  <sheetFormatPr defaultColWidth="9.00390625" defaultRowHeight="12.75"/>
  <cols>
    <col min="1" max="1" width="8.625" style="1" customWidth="1"/>
    <col min="2" max="2" width="47.625" style="1" customWidth="1"/>
    <col min="3" max="3" width="23.25390625" style="1" customWidth="1"/>
    <col min="4" max="4" width="32.375" style="1" customWidth="1"/>
    <col min="5" max="5" width="20.00390625" style="1" customWidth="1"/>
    <col min="6" max="6" width="22.25390625" style="1" customWidth="1"/>
    <col min="7" max="7" width="19.00390625" style="1" customWidth="1"/>
    <col min="8" max="8" width="22.375" style="1" customWidth="1"/>
    <col min="9" max="9" width="36.375" style="1" customWidth="1"/>
    <col min="10" max="10" width="14.625" style="1" bestFit="1" customWidth="1"/>
    <col min="11" max="11" width="25.875" style="1" customWidth="1"/>
    <col min="12" max="12" width="18.75390625" style="1" customWidth="1"/>
    <col min="13" max="13" width="18.625" style="1" customWidth="1"/>
    <col min="14" max="16" width="9.125" style="1" customWidth="1"/>
    <col min="17" max="17" width="13.75390625" style="1" bestFit="1" customWidth="1"/>
    <col min="18" max="18" width="13.375" style="1" bestFit="1" customWidth="1"/>
    <col min="19" max="16384" width="9.125" style="1" customWidth="1"/>
  </cols>
  <sheetData>
    <row r="1" spans="6:9" ht="15" customHeight="1">
      <c r="F1" s="18"/>
      <c r="G1" s="18"/>
      <c r="H1" s="18"/>
      <c r="I1" s="2" t="s">
        <v>408</v>
      </c>
    </row>
    <row r="2" spans="6:9" ht="18.75" customHeight="1">
      <c r="F2" s="18"/>
      <c r="G2" s="18"/>
      <c r="H2" s="18"/>
      <c r="I2" s="2" t="s">
        <v>283</v>
      </c>
    </row>
    <row r="3" spans="6:9" ht="16.5" customHeight="1">
      <c r="F3" s="18"/>
      <c r="G3" s="18"/>
      <c r="H3" s="18"/>
      <c r="I3" s="3" t="s">
        <v>284</v>
      </c>
    </row>
    <row r="4" spans="6:9" ht="16.5" customHeight="1">
      <c r="F4" s="18"/>
      <c r="G4" s="18"/>
      <c r="H4" s="18"/>
      <c r="I4" s="3" t="s">
        <v>285</v>
      </c>
    </row>
    <row r="5" spans="6:9" ht="16.5" customHeight="1">
      <c r="F5" s="18"/>
      <c r="G5" s="18"/>
      <c r="H5" s="18"/>
      <c r="I5" s="3" t="s">
        <v>286</v>
      </c>
    </row>
    <row r="6" spans="6:9" ht="16.5" customHeight="1">
      <c r="F6" s="18"/>
      <c r="G6" s="18"/>
      <c r="H6" s="18"/>
      <c r="I6" s="3" t="s">
        <v>287</v>
      </c>
    </row>
    <row r="7" spans="6:9" ht="16.5" customHeight="1">
      <c r="F7" s="18"/>
      <c r="G7" s="18"/>
      <c r="H7" s="18"/>
      <c r="I7" s="3" t="s">
        <v>288</v>
      </c>
    </row>
    <row r="8" spans="6:9" ht="15" customHeight="1">
      <c r="F8" s="19"/>
      <c r="G8" s="18"/>
      <c r="H8" s="18"/>
      <c r="I8" s="3" t="s">
        <v>392</v>
      </c>
    </row>
    <row r="9" spans="6:9" ht="15">
      <c r="F9" s="18"/>
      <c r="G9" s="18"/>
      <c r="H9" s="18"/>
      <c r="I9" s="18"/>
    </row>
    <row r="10" ht="15"/>
    <row r="11" spans="1:9" ht="15" customHeight="1">
      <c r="A11" s="712" t="s">
        <v>560</v>
      </c>
      <c r="B11" s="712"/>
      <c r="C11" s="712"/>
      <c r="D11" s="712"/>
      <c r="E11" s="712"/>
      <c r="F11" s="712"/>
      <c r="G11" s="712"/>
      <c r="H11" s="712"/>
      <c r="I11" s="712"/>
    </row>
    <row r="12" ht="18.75">
      <c r="A12" s="8"/>
    </row>
    <row r="13" spans="1:5" s="94" customFormat="1" ht="18.75">
      <c r="A13" s="165" t="s">
        <v>409</v>
      </c>
      <c r="B13" s="165"/>
      <c r="C13" s="165"/>
      <c r="D13" s="165"/>
      <c r="E13" s="165"/>
    </row>
    <row r="14" spans="1:9" s="94" customFormat="1" ht="22.5">
      <c r="A14" s="782" t="s">
        <v>583</v>
      </c>
      <c r="B14" s="782"/>
      <c r="C14" s="782"/>
      <c r="D14" s="782"/>
      <c r="E14" s="782"/>
      <c r="F14" s="782"/>
      <c r="G14" s="782"/>
      <c r="H14" s="782"/>
      <c r="I14" s="782"/>
    </row>
    <row r="15" spans="1:9" s="94" customFormat="1" ht="22.5">
      <c r="A15" s="153" t="s">
        <v>584</v>
      </c>
      <c r="B15" s="153"/>
      <c r="C15" s="153"/>
      <c r="D15" s="153"/>
      <c r="E15" s="153"/>
      <c r="F15" s="153"/>
      <c r="G15" s="153"/>
      <c r="H15" s="153"/>
      <c r="I15" s="153"/>
    </row>
    <row r="16" spans="1:9" s="94" customFormat="1" ht="26.25" customHeight="1">
      <c r="A16" s="780" t="s">
        <v>585</v>
      </c>
      <c r="B16" s="780"/>
      <c r="C16" s="780"/>
      <c r="D16" s="780"/>
      <c r="E16" s="780"/>
      <c r="F16" s="780"/>
      <c r="G16" s="780"/>
      <c r="H16" s="780"/>
      <c r="I16" s="780"/>
    </row>
    <row r="17" s="31" customFormat="1" ht="15.75" thickBot="1"/>
    <row r="18" spans="1:5" s="31" customFormat="1" ht="75" customHeight="1" thickBot="1">
      <c r="A18" s="4" t="s">
        <v>292</v>
      </c>
      <c r="B18" s="143" t="s">
        <v>410</v>
      </c>
      <c r="C18" s="143" t="s">
        <v>411</v>
      </c>
      <c r="D18" s="143" t="s">
        <v>412</v>
      </c>
      <c r="E18" s="143" t="s">
        <v>413</v>
      </c>
    </row>
    <row r="19" spans="1:5" s="31" customFormat="1" ht="19.5" thickBot="1">
      <c r="A19" s="142">
        <v>1</v>
      </c>
      <c r="B19" s="144">
        <v>2</v>
      </c>
      <c r="C19" s="144">
        <v>3</v>
      </c>
      <c r="D19" s="144">
        <v>4</v>
      </c>
      <c r="E19" s="144">
        <v>5</v>
      </c>
    </row>
    <row r="20" spans="1:5" s="31" customFormat="1" ht="19.5" thickBot="1">
      <c r="A20" s="142">
        <v>1</v>
      </c>
      <c r="B20" s="144" t="s">
        <v>414</v>
      </c>
      <c r="C20" s="144"/>
      <c r="D20" s="144"/>
      <c r="E20" s="6"/>
    </row>
    <row r="21" spans="1:5" s="31" customFormat="1" ht="19.5" thickBot="1">
      <c r="A21" s="142"/>
      <c r="B21" s="144" t="s">
        <v>50</v>
      </c>
      <c r="C21" s="144"/>
      <c r="D21" s="144"/>
      <c r="E21" s="6">
        <v>0</v>
      </c>
    </row>
    <row r="22" spans="1:5" s="31" customFormat="1" ht="20.25" customHeight="1" thickBot="1">
      <c r="A22" s="142"/>
      <c r="B22" s="144" t="s">
        <v>489</v>
      </c>
      <c r="C22" s="144">
        <v>0</v>
      </c>
      <c r="D22" s="144">
        <v>0</v>
      </c>
      <c r="E22" s="6">
        <f>C22*D22*9</f>
        <v>0</v>
      </c>
    </row>
    <row r="23" spans="1:5" s="31" customFormat="1" ht="19.5" thickBot="1">
      <c r="A23" s="142"/>
      <c r="B23" s="135" t="s">
        <v>307</v>
      </c>
      <c r="C23" s="5" t="s">
        <v>313</v>
      </c>
      <c r="D23" s="5" t="s">
        <v>313</v>
      </c>
      <c r="E23" s="9">
        <f>E22</f>
        <v>0</v>
      </c>
    </row>
    <row r="24" s="31" customFormat="1" ht="15"/>
    <row r="25" spans="1:162" s="24" customFormat="1" ht="10.5">
      <c r="A25" s="630" t="s">
        <v>41</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H25" s="630"/>
      <c r="DI25" s="630"/>
      <c r="DJ25" s="630"/>
      <c r="DK25" s="630"/>
      <c r="DL25" s="630"/>
      <c r="DM25" s="630"/>
      <c r="DN25" s="630"/>
      <c r="DO25" s="630"/>
      <c r="DP25" s="630"/>
      <c r="DQ25" s="630"/>
      <c r="DR25" s="630"/>
      <c r="DS25" s="630"/>
      <c r="DT25" s="630"/>
      <c r="DU25" s="630"/>
      <c r="DV25" s="630"/>
      <c r="DW25" s="630"/>
      <c r="DX25" s="630"/>
      <c r="DY25" s="630"/>
      <c r="DZ25" s="630"/>
      <c r="EA25" s="630"/>
      <c r="EB25" s="630"/>
      <c r="EC25" s="630"/>
      <c r="ED25" s="630"/>
      <c r="EE25" s="630"/>
      <c r="EF25" s="630"/>
      <c r="EG25" s="630"/>
      <c r="EH25" s="630"/>
      <c r="EI25" s="630"/>
      <c r="EJ25" s="630"/>
      <c r="EK25" s="630"/>
      <c r="EL25" s="630"/>
      <c r="EM25" s="630"/>
      <c r="EN25" s="630"/>
      <c r="EO25" s="630"/>
      <c r="EP25" s="630"/>
      <c r="EQ25" s="630"/>
      <c r="ER25" s="630"/>
      <c r="ES25" s="630"/>
      <c r="ET25" s="630"/>
      <c r="EU25" s="630"/>
      <c r="EV25" s="630"/>
      <c r="EW25" s="630"/>
      <c r="EX25" s="630"/>
      <c r="EY25" s="630"/>
      <c r="EZ25" s="630"/>
      <c r="FA25" s="630"/>
      <c r="FB25" s="630"/>
      <c r="FC25" s="630"/>
      <c r="FD25" s="630"/>
      <c r="FE25" s="630"/>
      <c r="FF25" s="105"/>
    </row>
    <row r="26" spans="1:9" s="94" customFormat="1" ht="18.75">
      <c r="A26" s="783" t="s">
        <v>493</v>
      </c>
      <c r="B26" s="783"/>
      <c r="C26" s="783"/>
      <c r="D26" s="783"/>
      <c r="E26" s="783"/>
      <c r="F26" s="783"/>
      <c r="G26" s="783"/>
      <c r="H26" s="783"/>
      <c r="I26" s="783"/>
    </row>
    <row r="27" spans="1:9" s="94" customFormat="1" ht="18.75">
      <c r="A27" s="154" t="s">
        <v>586</v>
      </c>
      <c r="B27" s="154"/>
      <c r="C27" s="154"/>
      <c r="D27" s="154"/>
      <c r="E27" s="154"/>
      <c r="F27" s="154"/>
      <c r="G27" s="154"/>
      <c r="H27" s="154"/>
      <c r="I27" s="154"/>
    </row>
    <row r="28" spans="1:9" s="94" customFormat="1" ht="18.75">
      <c r="A28" s="781" t="s">
        <v>492</v>
      </c>
      <c r="B28" s="781"/>
      <c r="C28" s="781"/>
      <c r="D28" s="781"/>
      <c r="E28" s="781"/>
      <c r="F28" s="781"/>
      <c r="G28" s="781"/>
      <c r="H28" s="781"/>
      <c r="I28" s="781"/>
    </row>
    <row r="29" spans="1:9" s="94" customFormat="1" ht="18.75">
      <c r="A29" s="149"/>
      <c r="B29" s="149"/>
      <c r="C29" s="149"/>
      <c r="D29" s="149"/>
      <c r="E29" s="149"/>
      <c r="F29" s="149"/>
      <c r="G29" s="149"/>
      <c r="H29" s="149"/>
      <c r="I29" s="149"/>
    </row>
    <row r="30" spans="1:7" s="94" customFormat="1" ht="18.75">
      <c r="A30" s="155" t="s">
        <v>587</v>
      </c>
      <c r="G30" s="98"/>
    </row>
    <row r="31" s="31" customFormat="1" ht="15.75" thickBot="1">
      <c r="G31" s="34"/>
    </row>
    <row r="32" spans="1:9" s="31" customFormat="1" ht="66.75" customHeight="1" thickBot="1">
      <c r="A32" s="4" t="s">
        <v>292</v>
      </c>
      <c r="B32" s="143" t="s">
        <v>415</v>
      </c>
      <c r="C32" s="143" t="s">
        <v>416</v>
      </c>
      <c r="D32" s="143" t="s">
        <v>490</v>
      </c>
      <c r="E32" s="143" t="s">
        <v>417</v>
      </c>
      <c r="I32" s="34"/>
    </row>
    <row r="33" spans="1:5" s="31" customFormat="1" ht="19.5" thickBot="1">
      <c r="A33" s="142">
        <v>1</v>
      </c>
      <c r="B33" s="144">
        <v>2</v>
      </c>
      <c r="C33" s="144">
        <v>3</v>
      </c>
      <c r="D33" s="144">
        <v>4</v>
      </c>
      <c r="E33" s="144">
        <v>5</v>
      </c>
    </row>
    <row r="34" spans="1:161" s="31" customFormat="1" ht="39.75" customHeight="1" thickBot="1">
      <c r="A34" s="142">
        <v>1</v>
      </c>
      <c r="B34" s="144" t="s">
        <v>509</v>
      </c>
      <c r="C34" s="29">
        <v>250</v>
      </c>
      <c r="D34" s="144">
        <v>15</v>
      </c>
      <c r="E34" s="6">
        <f>C34*D34*8*9</f>
        <v>270000</v>
      </c>
      <c r="CN34" s="755"/>
      <c r="CO34" s="755"/>
      <c r="CP34" s="755"/>
      <c r="CQ34" s="755"/>
      <c r="CR34" s="755"/>
      <c r="CS34" s="755"/>
      <c r="CT34" s="755"/>
      <c r="CU34" s="755"/>
      <c r="CV34" s="756"/>
      <c r="CW34" s="756"/>
      <c r="CX34" s="756"/>
      <c r="CY34" s="756"/>
      <c r="CZ34" s="756"/>
      <c r="DA34" s="756"/>
      <c r="DB34" s="756"/>
      <c r="DC34" s="756"/>
      <c r="DD34" s="756"/>
      <c r="DE34" s="756"/>
      <c r="DF34" s="756"/>
      <c r="DG34" s="756"/>
      <c r="DH34" s="756"/>
      <c r="DI34" s="756"/>
      <c r="DJ34" s="756"/>
      <c r="DK34" s="756"/>
      <c r="DL34" s="756"/>
      <c r="DM34" s="756"/>
      <c r="DN34" s="756"/>
      <c r="DO34" s="756"/>
      <c r="DP34" s="756"/>
      <c r="DQ34" s="756"/>
      <c r="DR34" s="756"/>
      <c r="DS34" s="756"/>
      <c r="DT34" s="756"/>
      <c r="DU34" s="756"/>
      <c r="DV34" s="756"/>
      <c r="DW34" s="756"/>
      <c r="DX34" s="756"/>
      <c r="DY34" s="756"/>
      <c r="DZ34" s="756"/>
      <c r="EA34" s="756"/>
      <c r="EB34" s="756"/>
      <c r="EC34" s="756"/>
      <c r="ED34" s="756"/>
      <c r="EE34" s="756"/>
      <c r="EF34" s="756"/>
      <c r="EG34" s="756"/>
      <c r="EH34" s="756"/>
      <c r="EI34" s="756"/>
      <c r="EJ34" s="756"/>
      <c r="EK34" s="756"/>
      <c r="EL34" s="756"/>
      <c r="EM34" s="756"/>
      <c r="EN34" s="756"/>
      <c r="EO34" s="756"/>
      <c r="EP34" s="756"/>
      <c r="EQ34" s="756"/>
      <c r="ER34" s="756"/>
      <c r="ES34" s="756"/>
      <c r="ET34" s="756"/>
      <c r="EU34" s="756"/>
      <c r="EV34" s="756"/>
      <c r="EW34" s="756"/>
      <c r="EX34" s="756"/>
      <c r="EY34" s="756"/>
      <c r="EZ34" s="756"/>
      <c r="FA34" s="756"/>
      <c r="FB34" s="756"/>
      <c r="FC34" s="756"/>
      <c r="FD34" s="756"/>
      <c r="FE34" s="756"/>
    </row>
    <row r="35" spans="1:161" s="31" customFormat="1" ht="19.5" thickBot="1">
      <c r="A35" s="142">
        <v>2</v>
      </c>
      <c r="B35" s="144" t="s">
        <v>510</v>
      </c>
      <c r="C35" s="29">
        <v>258</v>
      </c>
      <c r="D35" s="144">
        <v>10</v>
      </c>
      <c r="E35" s="6">
        <f>C35*D35*8*9</f>
        <v>185760</v>
      </c>
      <c r="CN35" s="755"/>
      <c r="CO35" s="755"/>
      <c r="CP35" s="755"/>
      <c r="CQ35" s="755"/>
      <c r="CR35" s="755"/>
      <c r="CS35" s="755"/>
      <c r="CT35" s="755"/>
      <c r="CU35" s="755"/>
      <c r="CV35" s="757">
        <v>2024</v>
      </c>
      <c r="CW35" s="757"/>
      <c r="CX35" s="757"/>
      <c r="CY35" s="757"/>
      <c r="CZ35" s="757"/>
      <c r="DA35" s="757"/>
      <c r="DB35" s="757"/>
      <c r="DC35" s="757"/>
      <c r="DD35" s="757"/>
      <c r="DE35" s="757"/>
      <c r="DF35" s="757"/>
      <c r="DG35" s="757"/>
      <c r="DH35" s="757"/>
      <c r="DI35" s="757"/>
      <c r="DJ35" s="757"/>
      <c r="DK35" s="757"/>
      <c r="DL35" s="757"/>
      <c r="DM35" s="757"/>
      <c r="DN35" s="757"/>
      <c r="DO35" s="757"/>
      <c r="DP35" s="757"/>
      <c r="DQ35" s="757"/>
      <c r="DR35" s="757"/>
      <c r="DS35" s="757"/>
      <c r="DT35" s="757"/>
      <c r="DU35" s="757"/>
      <c r="DV35" s="757"/>
      <c r="DW35" s="757"/>
      <c r="DX35" s="757"/>
      <c r="DY35" s="757"/>
      <c r="DZ35" s="757"/>
      <c r="EA35" s="757"/>
      <c r="EB35" s="757"/>
      <c r="EC35" s="757"/>
      <c r="ED35" s="757"/>
      <c r="EE35" s="757"/>
      <c r="EF35" s="757">
        <f>EF11</f>
        <v>0</v>
      </c>
      <c r="EG35" s="757"/>
      <c r="EH35" s="757"/>
      <c r="EI35" s="757"/>
      <c r="EJ35" s="757"/>
      <c r="EK35" s="757"/>
      <c r="EL35" s="757"/>
      <c r="EM35" s="757"/>
      <c r="EN35" s="757"/>
      <c r="EO35" s="757"/>
      <c r="EP35" s="757"/>
      <c r="EQ35" s="757"/>
      <c r="ER35" s="757"/>
      <c r="ES35" s="757"/>
      <c r="ET35" s="757"/>
      <c r="EU35" s="757"/>
      <c r="EV35" s="757"/>
      <c r="EW35" s="757"/>
      <c r="EX35" s="757"/>
      <c r="EY35" s="757"/>
      <c r="EZ35" s="757"/>
      <c r="FA35" s="757"/>
      <c r="FB35" s="757"/>
      <c r="FC35" s="757"/>
      <c r="FD35" s="757"/>
      <c r="FE35" s="757"/>
    </row>
    <row r="36" spans="1:5" s="31" customFormat="1" ht="19.5" thickBot="1">
      <c r="A36" s="142">
        <v>3</v>
      </c>
      <c r="B36" s="144" t="s">
        <v>511</v>
      </c>
      <c r="C36" s="29">
        <v>258</v>
      </c>
      <c r="D36" s="144">
        <v>10</v>
      </c>
      <c r="E36" s="6">
        <f>C36*D36*8*9</f>
        <v>185760</v>
      </c>
    </row>
    <row r="37" spans="1:5" s="31" customFormat="1" ht="19.5" thickBot="1">
      <c r="A37" s="142">
        <v>4</v>
      </c>
      <c r="B37" s="144" t="s">
        <v>512</v>
      </c>
      <c r="C37" s="29">
        <v>258</v>
      </c>
      <c r="D37" s="144">
        <v>10</v>
      </c>
      <c r="E37" s="6">
        <f>C37*D37*8*9</f>
        <v>185760</v>
      </c>
    </row>
    <row r="38" spans="1:77" s="31" customFormat="1" ht="19.5" thickBot="1">
      <c r="A38" s="142"/>
      <c r="B38" s="135" t="s">
        <v>307</v>
      </c>
      <c r="C38" s="5" t="s">
        <v>313</v>
      </c>
      <c r="D38" s="5" t="s">
        <v>313</v>
      </c>
      <c r="E38" s="9">
        <f>E37+E36+E35+E34</f>
        <v>827280</v>
      </c>
      <c r="BY38" s="31" t="s">
        <v>582</v>
      </c>
    </row>
    <row r="39" s="31" customFormat="1" ht="15"/>
    <row r="40" spans="1:9" s="94" customFormat="1" ht="20.25">
      <c r="A40" s="772" t="s">
        <v>588</v>
      </c>
      <c r="B40" s="772"/>
      <c r="C40" s="772"/>
      <c r="D40" s="772"/>
      <c r="E40" s="772"/>
      <c r="F40" s="772"/>
      <c r="G40" s="772"/>
      <c r="H40" s="772"/>
      <c r="I40" s="772"/>
    </row>
    <row r="41" spans="1:9" s="94" customFormat="1" ht="19.5" customHeight="1" thickBot="1">
      <c r="A41" s="781"/>
      <c r="B41" s="781"/>
      <c r="C41" s="781"/>
      <c r="D41" s="781"/>
      <c r="E41" s="781"/>
      <c r="F41" s="781"/>
      <c r="G41" s="781"/>
      <c r="H41" s="781"/>
      <c r="I41" s="781"/>
    </row>
    <row r="42" spans="1:9" s="94" customFormat="1" ht="78.75" customHeight="1" thickBot="1">
      <c r="A42" s="146" t="s">
        <v>292</v>
      </c>
      <c r="B42" s="773" t="s">
        <v>589</v>
      </c>
      <c r="C42" s="774"/>
      <c r="D42" s="775"/>
      <c r="E42" s="147" t="s">
        <v>590</v>
      </c>
      <c r="I42" s="98"/>
    </row>
    <row r="43" spans="1:5" s="94" customFormat="1" ht="19.5" thickBot="1">
      <c r="A43" s="96">
        <v>1</v>
      </c>
      <c r="B43" s="773">
        <v>2</v>
      </c>
      <c r="C43" s="774"/>
      <c r="D43" s="775"/>
      <c r="E43" s="156">
        <v>3</v>
      </c>
    </row>
    <row r="44" spans="1:10" s="94" customFormat="1" ht="49.5" customHeight="1" thickBot="1">
      <c r="A44" s="97" t="s">
        <v>591</v>
      </c>
      <c r="B44" s="776" t="s">
        <v>592</v>
      </c>
      <c r="C44" s="777"/>
      <c r="D44" s="778"/>
      <c r="E44" s="157">
        <f>'стр.1_4'!EF36</f>
        <v>94414743.3</v>
      </c>
      <c r="J44" s="158"/>
    </row>
    <row r="45" spans="1:10" s="94" customFormat="1" ht="21">
      <c r="A45" s="95"/>
      <c r="B45" s="95"/>
      <c r="C45" s="95"/>
      <c r="D45" s="95"/>
      <c r="E45" s="159"/>
      <c r="J45" s="158"/>
    </row>
    <row r="46" s="94" customFormat="1" ht="18.75">
      <c r="A46" s="155" t="s">
        <v>593</v>
      </c>
    </row>
    <row r="47" s="31" customFormat="1" ht="15.75" thickBot="1"/>
    <row r="48" spans="1:8" s="31" customFormat="1" ht="19.5" thickBot="1">
      <c r="A48" s="709" t="s">
        <v>292</v>
      </c>
      <c r="B48" s="709" t="s">
        <v>415</v>
      </c>
      <c r="C48" s="706" t="s">
        <v>430</v>
      </c>
      <c r="D48" s="708"/>
      <c r="E48" s="706" t="s">
        <v>431</v>
      </c>
      <c r="F48" s="708"/>
      <c r="G48" s="753" t="s">
        <v>432</v>
      </c>
      <c r="H48" s="709" t="s">
        <v>433</v>
      </c>
    </row>
    <row r="49" spans="1:8" s="31" customFormat="1" ht="41.25" customHeight="1" thickBot="1">
      <c r="A49" s="711"/>
      <c r="B49" s="711"/>
      <c r="C49" s="144" t="s">
        <v>434</v>
      </c>
      <c r="D49" s="144" t="s">
        <v>435</v>
      </c>
      <c r="E49" s="142" t="s">
        <v>434</v>
      </c>
      <c r="F49" s="13" t="s">
        <v>436</v>
      </c>
      <c r="G49" s="754"/>
      <c r="H49" s="711"/>
    </row>
    <row r="50" spans="1:8" s="31" customFormat="1" ht="20.25" customHeight="1" thickBot="1">
      <c r="A50" s="142"/>
      <c r="B50" s="144">
        <v>1</v>
      </c>
      <c r="C50" s="144">
        <v>2</v>
      </c>
      <c r="D50" s="144">
        <v>3</v>
      </c>
      <c r="E50" s="142">
        <v>4</v>
      </c>
      <c r="F50" s="35">
        <v>5</v>
      </c>
      <c r="G50" s="36">
        <v>6</v>
      </c>
      <c r="H50" s="35">
        <v>7</v>
      </c>
    </row>
    <row r="51" spans="1:8" s="31" customFormat="1" ht="19.5" thickBot="1">
      <c r="A51" s="15" t="s">
        <v>11</v>
      </c>
      <c r="B51" s="10" t="s">
        <v>561</v>
      </c>
      <c r="C51" s="20">
        <v>61.8667689000202</v>
      </c>
      <c r="D51" s="16" t="s">
        <v>497</v>
      </c>
      <c r="E51" s="14">
        <v>80</v>
      </c>
      <c r="F51" s="14">
        <v>93</v>
      </c>
      <c r="G51" s="6">
        <v>150</v>
      </c>
      <c r="H51" s="14">
        <f>((C51*E51)+(D51*F51))*150</f>
        <v>909801.2268002424</v>
      </c>
    </row>
    <row r="52" spans="1:8" s="31" customFormat="1" ht="19.5" thickBot="1">
      <c r="A52" s="15" t="s">
        <v>12</v>
      </c>
      <c r="B52" s="10" t="s">
        <v>437</v>
      </c>
      <c r="C52" s="20">
        <v>32.043</v>
      </c>
      <c r="D52" s="16" t="s">
        <v>498</v>
      </c>
      <c r="E52" s="14">
        <v>129</v>
      </c>
      <c r="F52" s="14">
        <v>157</v>
      </c>
      <c r="G52" s="6">
        <v>150</v>
      </c>
      <c r="H52" s="14">
        <f>((C52*E52)+(D52*F52))*150-2.52</f>
        <v>996829.5299999999</v>
      </c>
    </row>
    <row r="53" spans="1:11" s="31" customFormat="1" ht="19.5" thickBot="1">
      <c r="A53" s="15" t="s">
        <v>13</v>
      </c>
      <c r="B53" s="10" t="s">
        <v>438</v>
      </c>
      <c r="C53" s="20">
        <v>10</v>
      </c>
      <c r="D53" s="16">
        <v>0</v>
      </c>
      <c r="E53" s="14">
        <v>87</v>
      </c>
      <c r="F53" s="14">
        <v>96</v>
      </c>
      <c r="G53" s="6">
        <v>150</v>
      </c>
      <c r="H53" s="14">
        <f>((C53*E53)+(D53*F53))*150</f>
        <v>130500</v>
      </c>
      <c r="J53" s="37"/>
      <c r="K53" s="38"/>
    </row>
    <row r="54" spans="1:8" s="31" customFormat="1" ht="19.5" thickBot="1">
      <c r="A54" s="11"/>
      <c r="B54" s="135" t="s">
        <v>445</v>
      </c>
      <c r="C54" s="5"/>
      <c r="D54" s="7"/>
      <c r="E54" s="17"/>
      <c r="F54" s="39"/>
      <c r="G54" s="39"/>
      <c r="H54" s="40">
        <f>H53+H52+H51</f>
        <v>2037130.7568002422</v>
      </c>
    </row>
    <row r="55" s="31" customFormat="1" ht="15"/>
    <row r="56" spans="1:9" ht="18.75" hidden="1">
      <c r="A56" s="752" t="s">
        <v>522</v>
      </c>
      <c r="B56" s="752"/>
      <c r="C56" s="752"/>
      <c r="D56" s="752"/>
      <c r="E56" s="752"/>
      <c r="F56" s="752"/>
      <c r="G56" s="752"/>
      <c r="H56" s="752"/>
      <c r="I56" s="752"/>
    </row>
    <row r="57" spans="1:9" ht="18.75" hidden="1">
      <c r="A57" s="720" t="s">
        <v>523</v>
      </c>
      <c r="B57" s="720"/>
      <c r="C57" s="720"/>
      <c r="D57" s="720"/>
      <c r="E57" s="720"/>
      <c r="F57" s="720"/>
      <c r="G57" s="720"/>
      <c r="H57" s="720"/>
      <c r="I57" s="720"/>
    </row>
    <row r="58" ht="15" hidden="1"/>
    <row r="59" spans="1:5" ht="32.25" customHeight="1" hidden="1">
      <c r="A59" s="4" t="s">
        <v>292</v>
      </c>
      <c r="B59" s="143" t="s">
        <v>524</v>
      </c>
      <c r="C59" s="143"/>
      <c r="D59" s="143"/>
      <c r="E59" s="143" t="s">
        <v>10</v>
      </c>
    </row>
    <row r="60" spans="1:5" ht="19.5" hidden="1" thickBot="1">
      <c r="A60" s="142">
        <v>1</v>
      </c>
      <c r="B60" s="144">
        <v>2</v>
      </c>
      <c r="C60" s="144">
        <v>3</v>
      </c>
      <c r="D60" s="144">
        <v>4</v>
      </c>
      <c r="E60" s="144">
        <v>5</v>
      </c>
    </row>
    <row r="61" spans="1:5" ht="37.5" customHeight="1" hidden="1">
      <c r="A61" s="142">
        <v>1</v>
      </c>
      <c r="B61" s="144" t="s">
        <v>525</v>
      </c>
      <c r="C61" s="144"/>
      <c r="D61" s="144"/>
      <c r="E61" s="6"/>
    </row>
    <row r="62" spans="1:5" ht="19.5" hidden="1" thickBot="1">
      <c r="A62" s="142"/>
      <c r="B62" s="135" t="s">
        <v>307</v>
      </c>
      <c r="C62" s="5" t="s">
        <v>313</v>
      </c>
      <c r="D62" s="5" t="s">
        <v>313</v>
      </c>
      <c r="E62" s="9">
        <f>E61</f>
        <v>0</v>
      </c>
    </row>
    <row r="63" spans="1:9" ht="18.75" hidden="1">
      <c r="A63" s="752" t="s">
        <v>554</v>
      </c>
      <c r="B63" s="752"/>
      <c r="C63" s="752"/>
      <c r="D63" s="752"/>
      <c r="E63" s="752"/>
      <c r="F63" s="752"/>
      <c r="G63" s="752"/>
      <c r="H63" s="752"/>
      <c r="I63" s="752"/>
    </row>
    <row r="64" spans="1:9" ht="18.75" hidden="1">
      <c r="A64" s="720" t="s">
        <v>523</v>
      </c>
      <c r="B64" s="720"/>
      <c r="C64" s="720"/>
      <c r="D64" s="720"/>
      <c r="E64" s="720"/>
      <c r="F64" s="720"/>
      <c r="G64" s="720"/>
      <c r="H64" s="720"/>
      <c r="I64" s="720"/>
    </row>
    <row r="65" ht="15" hidden="1"/>
    <row r="66" spans="1:5" ht="128.25" customHeight="1" hidden="1">
      <c r="A66" s="4" t="s">
        <v>292</v>
      </c>
      <c r="B66" s="143" t="s">
        <v>524</v>
      </c>
      <c r="C66" s="4" t="s">
        <v>555</v>
      </c>
      <c r="D66" s="45"/>
      <c r="E66" s="45"/>
    </row>
    <row r="67" spans="1:5" ht="19.5" hidden="1" thickBot="1">
      <c r="A67" s="142">
        <v>1</v>
      </c>
      <c r="B67" s="144">
        <v>2</v>
      </c>
      <c r="C67" s="142">
        <v>3</v>
      </c>
      <c r="D67" s="45"/>
      <c r="E67" s="45"/>
    </row>
    <row r="68" spans="1:5" ht="27" customHeight="1" hidden="1">
      <c r="A68" s="142">
        <v>1</v>
      </c>
      <c r="B68" s="144" t="s">
        <v>556</v>
      </c>
      <c r="C68" s="90">
        <v>0</v>
      </c>
      <c r="D68" s="45"/>
      <c r="E68" s="91"/>
    </row>
    <row r="69" spans="1:5" ht="27" customHeight="1" hidden="1">
      <c r="A69" s="142"/>
      <c r="B69" s="144"/>
      <c r="C69" s="90">
        <v>0</v>
      </c>
      <c r="D69" s="45"/>
      <c r="E69" s="91"/>
    </row>
    <row r="70" spans="1:5" ht="27" customHeight="1" hidden="1">
      <c r="A70" s="142"/>
      <c r="B70" s="135" t="s">
        <v>307</v>
      </c>
      <c r="C70" s="92">
        <f>C68+C69</f>
        <v>0</v>
      </c>
      <c r="D70" s="150"/>
      <c r="E70" s="89"/>
    </row>
    <row r="71" spans="1:6" s="94" customFormat="1" ht="22.5">
      <c r="A71" s="153" t="s">
        <v>594</v>
      </c>
      <c r="B71" s="153"/>
      <c r="C71" s="153"/>
      <c r="D71" s="153"/>
      <c r="E71" s="153"/>
      <c r="F71" s="153"/>
    </row>
    <row r="72" spans="1:9" s="94" customFormat="1" ht="27.75" customHeight="1">
      <c r="A72" s="779" t="s">
        <v>595</v>
      </c>
      <c r="B72" s="780"/>
      <c r="C72" s="780"/>
      <c r="D72" s="780"/>
      <c r="E72" s="780"/>
      <c r="F72" s="780"/>
      <c r="G72" s="780"/>
      <c r="H72" s="780"/>
      <c r="I72" s="780"/>
    </row>
    <row r="73" spans="1:9" s="94" customFormat="1" ht="20.25">
      <c r="A73" s="772" t="s">
        <v>596</v>
      </c>
      <c r="B73" s="772"/>
      <c r="C73" s="772"/>
      <c r="D73" s="772"/>
      <c r="E73" s="772"/>
      <c r="F73" s="772"/>
      <c r="G73" s="772"/>
      <c r="H73" s="772"/>
      <c r="I73" s="772"/>
    </row>
    <row r="74" spans="1:5" s="94" customFormat="1" ht="19.5" thickBot="1">
      <c r="A74" s="95"/>
      <c r="B74" s="99"/>
      <c r="C74" s="148"/>
      <c r="D74" s="148"/>
      <c r="E74" s="160"/>
    </row>
    <row r="75" spans="1:9" s="94" customFormat="1" ht="60" customHeight="1" thickBot="1">
      <c r="A75" s="97" t="s">
        <v>292</v>
      </c>
      <c r="B75" s="773" t="s">
        <v>597</v>
      </c>
      <c r="C75" s="774"/>
      <c r="D75" s="775"/>
      <c r="E75" s="147" t="s">
        <v>10</v>
      </c>
      <c r="I75" s="98"/>
    </row>
    <row r="76" spans="1:5" s="94" customFormat="1" ht="19.5" thickBot="1">
      <c r="A76" s="145">
        <v>1</v>
      </c>
      <c r="B76" s="776">
        <v>2</v>
      </c>
      <c r="C76" s="777"/>
      <c r="D76" s="778"/>
      <c r="E76" s="156">
        <v>3</v>
      </c>
    </row>
    <row r="77" spans="1:10" ht="19.5" customHeight="1" thickBot="1">
      <c r="A77" s="142">
        <v>1</v>
      </c>
      <c r="B77" s="746" t="s">
        <v>603</v>
      </c>
      <c r="C77" s="747"/>
      <c r="D77" s="748"/>
      <c r="E77" s="162">
        <v>976208</v>
      </c>
      <c r="J77" s="163"/>
    </row>
    <row r="78" spans="1:5" ht="19.5" customHeight="1" thickBot="1">
      <c r="A78" s="142">
        <v>2</v>
      </c>
      <c r="B78" s="706" t="s">
        <v>602</v>
      </c>
      <c r="C78" s="707"/>
      <c r="D78" s="708"/>
      <c r="E78" s="164">
        <v>1325000</v>
      </c>
    </row>
    <row r="79" spans="1:5" ht="19.5" customHeight="1" thickBot="1">
      <c r="A79" s="142">
        <v>3</v>
      </c>
      <c r="B79" s="706" t="s">
        <v>604</v>
      </c>
      <c r="C79" s="707"/>
      <c r="D79" s="708"/>
      <c r="E79" s="164">
        <f>6353475+38700</f>
        <v>6392175</v>
      </c>
    </row>
    <row r="80" spans="1:5" ht="19.5" customHeight="1" hidden="1">
      <c r="A80" s="142">
        <v>4</v>
      </c>
      <c r="B80" s="706" t="s">
        <v>600</v>
      </c>
      <c r="C80" s="707"/>
      <c r="D80" s="708"/>
      <c r="E80" s="164">
        <v>0</v>
      </c>
    </row>
    <row r="81" spans="1:5" ht="19.5" customHeight="1" hidden="1">
      <c r="A81" s="142">
        <v>5</v>
      </c>
      <c r="B81" s="706" t="s">
        <v>601</v>
      </c>
      <c r="C81" s="707"/>
      <c r="D81" s="708"/>
      <c r="E81" s="164">
        <v>0</v>
      </c>
    </row>
    <row r="82" spans="1:5" ht="19.5" customHeight="1" hidden="1">
      <c r="A82" s="142">
        <v>6</v>
      </c>
      <c r="B82" s="706" t="s">
        <v>599</v>
      </c>
      <c r="C82" s="707"/>
      <c r="D82" s="708"/>
      <c r="E82" s="164">
        <v>0</v>
      </c>
    </row>
    <row r="83" spans="1:5" ht="19.5" customHeight="1" thickBot="1">
      <c r="A83" s="142">
        <v>4</v>
      </c>
      <c r="B83" s="706" t="s">
        <v>598</v>
      </c>
      <c r="C83" s="707"/>
      <c r="D83" s="708"/>
      <c r="E83" s="164">
        <v>3289725</v>
      </c>
    </row>
    <row r="84" spans="1:10" s="94" customFormat="1" ht="33" customHeight="1" thickBot="1">
      <c r="A84" s="145"/>
      <c r="B84" s="769" t="s">
        <v>307</v>
      </c>
      <c r="C84" s="770"/>
      <c r="D84" s="771"/>
      <c r="E84" s="161">
        <f>SUM(E77:E83)</f>
        <v>11983108</v>
      </c>
      <c r="J84" s="98"/>
    </row>
  </sheetData>
  <sheetProtection/>
  <mergeCells count="44">
    <mergeCell ref="A11:I11"/>
    <mergeCell ref="A14:I14"/>
    <mergeCell ref="A16:I16"/>
    <mergeCell ref="A25:FE25"/>
    <mergeCell ref="A26:I26"/>
    <mergeCell ref="A28:I28"/>
    <mergeCell ref="EF34:ER34"/>
    <mergeCell ref="ES34:FE34"/>
    <mergeCell ref="CV35:DE35"/>
    <mergeCell ref="DF35:DR35"/>
    <mergeCell ref="DS35:EE35"/>
    <mergeCell ref="EF35:ER35"/>
    <mergeCell ref="ES35:FE35"/>
    <mergeCell ref="CV34:DE34"/>
    <mergeCell ref="DF34:DR34"/>
    <mergeCell ref="DS34:EE34"/>
    <mergeCell ref="A40:I40"/>
    <mergeCell ref="A41:I41"/>
    <mergeCell ref="B42:D42"/>
    <mergeCell ref="B43:D43"/>
    <mergeCell ref="B44:D44"/>
    <mergeCell ref="CN34:CU35"/>
    <mergeCell ref="A48:A49"/>
    <mergeCell ref="B48:B49"/>
    <mergeCell ref="C48:D48"/>
    <mergeCell ref="E48:F48"/>
    <mergeCell ref="G48:G49"/>
    <mergeCell ref="H48:H49"/>
    <mergeCell ref="A56:I56"/>
    <mergeCell ref="A57:I57"/>
    <mergeCell ref="A63:I63"/>
    <mergeCell ref="A64:I64"/>
    <mergeCell ref="A72:I72"/>
    <mergeCell ref="A73:I73"/>
    <mergeCell ref="B81:D81"/>
    <mergeCell ref="B82:D82"/>
    <mergeCell ref="B83:D83"/>
    <mergeCell ref="B84:D84"/>
    <mergeCell ref="B75:D75"/>
    <mergeCell ref="B76:D76"/>
    <mergeCell ref="B77:D77"/>
    <mergeCell ref="B78:D78"/>
    <mergeCell ref="B79:D79"/>
    <mergeCell ref="B80:D80"/>
  </mergeCells>
  <printOptions horizontalCentered="1"/>
  <pageMargins left="0.2362204724409449" right="0.2362204724409449" top="0.7480314960629921" bottom="0.7480314960629921" header="0.31496062992125984" footer="0.31496062992125984"/>
  <pageSetup horizontalDpi="600" verticalDpi="600" orientation="portrait" paperSize="9"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Секретарь</cp:lastModifiedBy>
  <cp:lastPrinted>2023-02-10T02:51:52Z</cp:lastPrinted>
  <dcterms:created xsi:type="dcterms:W3CDTF">2011-01-11T10:25:48Z</dcterms:created>
  <dcterms:modified xsi:type="dcterms:W3CDTF">2023-02-10T02:53:18Z</dcterms:modified>
  <cp:category/>
  <cp:version/>
  <cp:contentType/>
  <cp:contentStatus/>
</cp:coreProperties>
</file>